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rit Nakarmi\Downloads\SEPPA2016\Sustainable energy Planning and policy analysis\Lecture notes_SEPPA2016\"/>
    </mc:Choice>
  </mc:AlternateContent>
  <bookViews>
    <workbookView xWindow="0" yWindow="0" windowWidth="18240" windowHeight="9487"/>
  </bookViews>
  <sheets>
    <sheet name="Energy Balance_2015 " sheetId="2" r:id="rId1"/>
  </sheets>
  <externalReferences>
    <externalReference r:id="rId2"/>
  </externalReferences>
  <definedNames>
    <definedName name="\I">#REF!</definedName>
    <definedName name="\P">#REF!</definedName>
    <definedName name="CBWorkbookPriority" hidden="1">-1494141200</definedName>
    <definedName name="discount_rate">#REF!</definedName>
    <definedName name="INIT">#REF!</definedName>
    <definedName name="LEAP">#REF!</definedName>
    <definedName name="NONLEAP">#REF!</definedName>
    <definedName name="num_per">[1]Global!$B$4</definedName>
    <definedName name="period">[1]Global!$B$3</definedName>
    <definedName name="_xlnm.Print_Titles" localSheetId="0">'Energy Balance_2015 '!$A:$A</definedName>
    <definedName name="Z_E8F207FF_2911_4909_920A_0CE3892E531E_.wvu.PrintTitles" localSheetId="0" hidden="1">'Energy Balance_2015 '!$A:$A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46" i="2" l="1"/>
  <c r="K44" i="2"/>
  <c r="L44" i="2" s="1"/>
  <c r="K43" i="2"/>
  <c r="L43" i="2" s="1"/>
  <c r="L42" i="2"/>
  <c r="L41" i="2"/>
  <c r="L40" i="2"/>
  <c r="K40" i="2"/>
  <c r="L39" i="2"/>
  <c r="L45" i="2" s="1"/>
  <c r="N38" i="2"/>
  <c r="M38" i="2"/>
  <c r="V26" i="2"/>
  <c r="U26" i="2"/>
  <c r="T26" i="2"/>
  <c r="S26" i="2"/>
  <c r="N26" i="2"/>
  <c r="M26" i="2"/>
  <c r="L26" i="2"/>
  <c r="K26" i="2"/>
  <c r="J26" i="2"/>
  <c r="G26" i="2"/>
  <c r="F26" i="2"/>
  <c r="E26" i="2"/>
  <c r="W25" i="2"/>
  <c r="Q25" i="2"/>
  <c r="W24" i="2"/>
  <c r="Q24" i="2"/>
  <c r="W23" i="2"/>
  <c r="Q23" i="2"/>
  <c r="W22" i="2"/>
  <c r="Q22" i="2"/>
  <c r="W20" i="2"/>
  <c r="Q20" i="2"/>
  <c r="H20" i="2"/>
  <c r="H26" i="2" s="1"/>
  <c r="G17" i="2"/>
  <c r="G28" i="2" s="1"/>
  <c r="G30" i="2" s="1"/>
  <c r="C17" i="2"/>
  <c r="W16" i="2"/>
  <c r="W15" i="2"/>
  <c r="I15" i="2"/>
  <c r="X15" i="2" s="1"/>
  <c r="W14" i="2"/>
  <c r="I14" i="2"/>
  <c r="X13" i="2"/>
  <c r="W13" i="2"/>
  <c r="I13" i="2"/>
  <c r="X11" i="2"/>
  <c r="V10" i="2"/>
  <c r="V17" i="2" s="1"/>
  <c r="V28" i="2" s="1"/>
  <c r="V30" i="2" s="1"/>
  <c r="T10" i="2"/>
  <c r="T17" i="2" s="1"/>
  <c r="T28" i="2" s="1"/>
  <c r="T30" i="2" s="1"/>
  <c r="S10" i="2"/>
  <c r="S17" i="2" s="1"/>
  <c r="S28" i="2" s="1"/>
  <c r="S30" i="2" s="1"/>
  <c r="R10" i="2"/>
  <c r="R17" i="2" s="1"/>
  <c r="P10" i="2"/>
  <c r="P17" i="2" s="1"/>
  <c r="O10" i="2"/>
  <c r="O17" i="2" s="1"/>
  <c r="N10" i="2"/>
  <c r="N17" i="2" s="1"/>
  <c r="N28" i="2" s="1"/>
  <c r="N30" i="2" s="1"/>
  <c r="M10" i="2"/>
  <c r="L10" i="2"/>
  <c r="L14" i="2" s="1"/>
  <c r="K10" i="2"/>
  <c r="K14" i="2" s="1"/>
  <c r="J10" i="2"/>
  <c r="J17" i="2" s="1"/>
  <c r="J28" i="2" s="1"/>
  <c r="J30" i="2" s="1"/>
  <c r="H10" i="2"/>
  <c r="H17" i="2" s="1"/>
  <c r="H28" i="2" s="1"/>
  <c r="H30" i="2" s="1"/>
  <c r="G10" i="2"/>
  <c r="F10" i="2"/>
  <c r="F17" i="2" s="1"/>
  <c r="F28" i="2" s="1"/>
  <c r="F30" i="2" s="1"/>
  <c r="E10" i="2"/>
  <c r="E17" i="2" s="1"/>
  <c r="E28" i="2" s="1"/>
  <c r="E30" i="2" s="1"/>
  <c r="D10" i="2"/>
  <c r="D17" i="2" s="1"/>
  <c r="C10" i="2"/>
  <c r="W9" i="2"/>
  <c r="I9" i="2"/>
  <c r="X9" i="2" s="1"/>
  <c r="W8" i="2"/>
  <c r="I8" i="2"/>
  <c r="X8" i="2" s="1"/>
  <c r="X7" i="2"/>
  <c r="W7" i="2"/>
  <c r="I7" i="2"/>
  <c r="H7" i="2"/>
  <c r="U6" i="2"/>
  <c r="W6" i="2" s="1"/>
  <c r="W10" i="2" s="1"/>
  <c r="W17" i="2" s="1"/>
  <c r="Q6" i="2"/>
  <c r="Q10" i="2" s="1"/>
  <c r="Q17" i="2" s="1"/>
  <c r="I6" i="2"/>
  <c r="X6" i="2" s="1"/>
  <c r="N40" i="2" l="1"/>
  <c r="P40" i="2" s="1"/>
  <c r="T40" i="2" s="1"/>
  <c r="D21" i="2" s="1"/>
  <c r="N41" i="2"/>
  <c r="P41" i="2" s="1"/>
  <c r="T41" i="2" s="1"/>
  <c r="D22" i="2" s="1"/>
  <c r="C34" i="2" s="1"/>
  <c r="C36" i="2" s="1"/>
  <c r="C37" i="2" s="1"/>
  <c r="C38" i="2" s="1"/>
  <c r="C40" i="2" s="1"/>
  <c r="N42" i="2"/>
  <c r="P42" i="2" s="1"/>
  <c r="T42" i="2" s="1"/>
  <c r="D23" i="2" s="1"/>
  <c r="N43" i="2"/>
  <c r="P43" i="2" s="1"/>
  <c r="T43" i="2" s="1"/>
  <c r="D24" i="2" s="1"/>
  <c r="M43" i="2"/>
  <c r="O43" i="2" s="1"/>
  <c r="S43" i="2" s="1"/>
  <c r="C24" i="2" s="1"/>
  <c r="R21" i="2"/>
  <c r="O21" i="2"/>
  <c r="M42" i="2"/>
  <c r="O42" i="2" s="1"/>
  <c r="S42" i="2" s="1"/>
  <c r="C23" i="2" s="1"/>
  <c r="M40" i="2"/>
  <c r="O40" i="2" s="1"/>
  <c r="S40" i="2" s="1"/>
  <c r="C21" i="2" s="1"/>
  <c r="N44" i="2"/>
  <c r="P44" i="2" s="1"/>
  <c r="T44" i="2" s="1"/>
  <c r="D25" i="2" s="1"/>
  <c r="M44" i="2"/>
  <c r="O44" i="2" s="1"/>
  <c r="S44" i="2" s="1"/>
  <c r="C25" i="2" s="1"/>
  <c r="K16" i="2"/>
  <c r="M14" i="2"/>
  <c r="P21" i="2"/>
  <c r="P26" i="2" s="1"/>
  <c r="P28" i="2"/>
  <c r="P30" i="2" s="1"/>
  <c r="M41" i="2"/>
  <c r="O41" i="2" s="1"/>
  <c r="S41" i="2" s="1"/>
  <c r="C22" i="2" s="1"/>
  <c r="I10" i="2"/>
  <c r="U10" i="2"/>
  <c r="U17" i="2" s="1"/>
  <c r="U28" i="2" s="1"/>
  <c r="U30" i="2" s="1"/>
  <c r="M39" i="2"/>
  <c r="N39" i="2"/>
  <c r="X10" i="2" l="1"/>
  <c r="I17" i="2"/>
  <c r="N45" i="2"/>
  <c r="P39" i="2"/>
  <c r="E36" i="2"/>
  <c r="I22" i="2"/>
  <c r="X22" i="2" s="1"/>
  <c r="B34" i="2"/>
  <c r="B36" i="2" s="1"/>
  <c r="B37" i="2" s="1"/>
  <c r="B38" i="2" s="1"/>
  <c r="B40" i="2" s="1"/>
  <c r="B41" i="2" s="1"/>
  <c r="E39" i="2"/>
  <c r="I25" i="2"/>
  <c r="X25" i="2" s="1"/>
  <c r="Q21" i="2"/>
  <c r="Q26" i="2" s="1"/>
  <c r="Q28" i="2" s="1"/>
  <c r="Q30" i="2" s="1"/>
  <c r="O26" i="2"/>
  <c r="O28" i="2" s="1"/>
  <c r="E38" i="2"/>
  <c r="I24" i="2"/>
  <c r="X24" i="2" s="1"/>
  <c r="M17" i="2"/>
  <c r="M28" i="2" s="1"/>
  <c r="M30" i="2" s="1"/>
  <c r="X14" i="2"/>
  <c r="M45" i="2"/>
  <c r="O39" i="2"/>
  <c r="C29" i="2"/>
  <c r="I23" i="2"/>
  <c r="X23" i="2" s="1"/>
  <c r="E37" i="2"/>
  <c r="E35" i="2"/>
  <c r="I21" i="2"/>
  <c r="R26" i="2"/>
  <c r="R28" i="2" s="1"/>
  <c r="R30" i="2" s="1"/>
  <c r="W21" i="2"/>
  <c r="W26" i="2" s="1"/>
  <c r="W28" i="2" s="1"/>
  <c r="W30" i="2" s="1"/>
  <c r="P45" i="2" l="1"/>
  <c r="T39" i="2"/>
  <c r="D20" i="2" s="1"/>
  <c r="X21" i="2"/>
  <c r="X17" i="2"/>
  <c r="O45" i="2"/>
  <c r="S39" i="2"/>
  <c r="C20" i="2" s="1"/>
  <c r="I20" i="2" l="1"/>
  <c r="C26" i="2"/>
  <c r="C28" i="2" s="1"/>
  <c r="C30" i="2" s="1"/>
  <c r="B45" i="2"/>
  <c r="B47" i="2" s="1"/>
  <c r="B48" i="2" s="1"/>
  <c r="B49" i="2" s="1"/>
  <c r="B51" i="2" s="1"/>
  <c r="C45" i="2"/>
  <c r="C47" i="2" s="1"/>
  <c r="D26" i="2"/>
  <c r="D28" i="2" s="1"/>
  <c r="C48" i="2" l="1"/>
  <c r="C49" i="2" s="1"/>
  <c r="E47" i="2"/>
  <c r="I26" i="2"/>
  <c r="I28" i="2" s="1"/>
  <c r="I30" i="2" s="1"/>
  <c r="X20" i="2"/>
  <c r="X26" i="2" s="1"/>
  <c r="X28" i="2" s="1"/>
  <c r="X30" i="2" s="1"/>
  <c r="C61" i="2" l="1"/>
  <c r="C51" i="2"/>
  <c r="B52" i="2" s="1"/>
  <c r="B54" i="2" s="1"/>
</calcChain>
</file>

<file path=xl/comments1.xml><?xml version="1.0" encoding="utf-8"?>
<comments xmlns="http://schemas.openxmlformats.org/spreadsheetml/2006/main">
  <authors>
    <author>DELL</author>
    <author>Dell</author>
    <author>Amrit Man Nakarmi</author>
  </authors>
  <commentList>
    <comment ref="H4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There should be furnace oil used by the duhabi plant and diesel by Hetauda plant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Indigenous cola production are not accounted for, hence taken out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There may be some coal taken across the border from Nepalunj areas</t>
        </r>
      </text>
    </comment>
    <comment ref="L14" authorId="1" shapeId="0">
      <text>
        <r>
          <rPr>
            <b/>
            <sz val="9"/>
            <color indexed="81"/>
            <rFont val="Tahoma"/>
            <family val="2"/>
          </rPr>
          <t>Anita:</t>
        </r>
        <r>
          <rPr>
            <sz val="9"/>
            <color indexed="81"/>
            <rFont val="Tahoma"/>
            <family val="2"/>
          </rPr>
          <t xml:space="preserve">
This is the value of electricity generation by captive gensets that ar not yet included in the energy balance yet</t>
        </r>
      </text>
    </comment>
    <comment ref="M14" authorId="2" shapeId="0">
      <text>
        <r>
          <rPr>
            <b/>
            <sz val="9"/>
            <color indexed="81"/>
            <rFont val="Tahoma"/>
            <family val="2"/>
          </rPr>
          <t>Amrit Man Nakarmi:</t>
        </r>
        <r>
          <rPr>
            <sz val="9"/>
            <color indexed="81"/>
            <rFont val="Tahoma"/>
            <family val="2"/>
          </rPr>
          <t xml:space="preserve">
Electrricity generation includes the electricity generation by captive private gensets
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As per NEA calculation, it is 3,532. But if as percentage of generation</t>
        </r>
      </text>
    </comment>
    <comment ref="H20" authorId="2" shapeId="0">
      <text>
        <r>
          <rPr>
            <b/>
            <sz val="9"/>
            <color indexed="81"/>
            <rFont val="Tahoma"/>
            <family val="2"/>
          </rPr>
          <t>Amrit Man Nakarmi:</t>
        </r>
        <r>
          <rPr>
            <sz val="9"/>
            <color indexed="81"/>
            <rFont val="Tahoma"/>
            <family val="2"/>
          </rPr>
          <t xml:space="preserve">
FO are privately imported for industrial use ans sometimes does not come under NOC's account</t>
        </r>
      </text>
    </comment>
    <comment ref="I30" authorId="2" shapeId="0">
      <text>
        <r>
          <rPr>
            <b/>
            <sz val="9"/>
            <color indexed="81"/>
            <rFont val="Tahoma"/>
            <family val="2"/>
          </rPr>
          <t>Amrit Man Nakarmi:</t>
        </r>
        <r>
          <rPr>
            <sz val="9"/>
            <color indexed="81"/>
            <rFont val="Tahoma"/>
            <family val="2"/>
          </rPr>
          <t xml:space="preserve">
This is the value of loss in generation of electricity by captive gensets of petroleum products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Diesel usage for electricity generation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Calculated, and seems more realistic than 39% as per your NEA data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Diesel usage for electricity generation</t>
        </r>
      </text>
    </comment>
    <comment ref="C46" authorId="0" shapeId="0">
      <text>
        <r>
          <rPr>
            <b/>
            <sz val="9"/>
            <color indexed="81"/>
            <rFont val="Tahoma"/>
            <family val="2"/>
          </rPr>
          <t>DELL:</t>
        </r>
        <r>
          <rPr>
            <sz val="9"/>
            <color indexed="81"/>
            <rFont val="Tahoma"/>
            <family val="2"/>
          </rPr>
          <t xml:space="preserve">
Calculated, and seems more realistic than 39% as per your NEA data</t>
        </r>
      </text>
    </comment>
  </commentList>
</comments>
</file>

<file path=xl/sharedStrings.xml><?xml version="1.0" encoding="utf-8"?>
<sst xmlns="http://schemas.openxmlformats.org/spreadsheetml/2006/main" count="127" uniqueCount="96">
  <si>
    <t>Petrol</t>
  </si>
  <si>
    <t>Diesel</t>
  </si>
  <si>
    <t>Kerosene</t>
  </si>
  <si>
    <t>Av. Fuel</t>
  </si>
  <si>
    <t>LPG</t>
  </si>
  <si>
    <t>Other Petro</t>
  </si>
  <si>
    <t>Total POL</t>
  </si>
  <si>
    <t>Coal</t>
  </si>
  <si>
    <t>Hydro</t>
  </si>
  <si>
    <t>Thermal</t>
  </si>
  <si>
    <t>Electricity</t>
  </si>
  <si>
    <t>Fuelwood</t>
  </si>
  <si>
    <t>Agri. Residue</t>
  </si>
  <si>
    <t>Animal dung</t>
  </si>
  <si>
    <t>Total</t>
  </si>
  <si>
    <t>Biogas</t>
  </si>
  <si>
    <t>Microhydro</t>
  </si>
  <si>
    <t>Solar</t>
  </si>
  <si>
    <t>Wind</t>
  </si>
  <si>
    <t>Others</t>
  </si>
  <si>
    <t>Grand Total</t>
  </si>
  <si>
    <t>OILGSL</t>
  </si>
  <si>
    <t>OILDSL</t>
  </si>
  <si>
    <t>OILKER</t>
  </si>
  <si>
    <t>OILATF</t>
  </si>
  <si>
    <t>OILLPG</t>
  </si>
  <si>
    <t>OILOPP</t>
  </si>
  <si>
    <t>SUPCOA</t>
  </si>
  <si>
    <t>RNWHYD</t>
  </si>
  <si>
    <t>ELC</t>
  </si>
  <si>
    <t>BIOBWD</t>
  </si>
  <si>
    <t>BIOBAR</t>
  </si>
  <si>
    <t>BIOBAD</t>
  </si>
  <si>
    <t>BIOBGS</t>
  </si>
  <si>
    <t>RNWMHD</t>
  </si>
  <si>
    <t>RNWSOL</t>
  </si>
  <si>
    <t>RNWWIN</t>
  </si>
  <si>
    <t>RNWOTR</t>
  </si>
  <si>
    <t>Primary Supply</t>
  </si>
  <si>
    <t>Indigenous production</t>
  </si>
  <si>
    <t>Imports</t>
  </si>
  <si>
    <t>Exports</t>
  </si>
  <si>
    <t>Stock changes</t>
  </si>
  <si>
    <t>Total Primary Supply</t>
  </si>
  <si>
    <t>Statistical error</t>
  </si>
  <si>
    <t>Transformation</t>
  </si>
  <si>
    <t>Inputs</t>
  </si>
  <si>
    <t>Electricity generation</t>
  </si>
  <si>
    <t xml:space="preserve">T &amp; D losses </t>
  </si>
  <si>
    <t>Other losses, own-use etc.</t>
  </si>
  <si>
    <t>Net supply to consumers</t>
  </si>
  <si>
    <t>Final Consumption</t>
  </si>
  <si>
    <t>Industry</t>
  </si>
  <si>
    <t>Residential</t>
  </si>
  <si>
    <t>Commercial</t>
  </si>
  <si>
    <t>Transport</t>
  </si>
  <si>
    <t>Agriculture</t>
  </si>
  <si>
    <t xml:space="preserve">Total </t>
  </si>
  <si>
    <t>BASE YEAR (20014-15) ENERGY BALANCE - (TJ)</t>
  </si>
  <si>
    <t>Petroleum products</t>
  </si>
  <si>
    <t>Biomass</t>
  </si>
  <si>
    <t>Renewables</t>
  </si>
  <si>
    <t>TJ</t>
  </si>
  <si>
    <t>Natural Gas</t>
  </si>
  <si>
    <t>Nuclear fuel</t>
  </si>
  <si>
    <t>SUPGAZ</t>
  </si>
  <si>
    <t>SUPNUK</t>
  </si>
  <si>
    <t>petroleum for Commercial power motiive</t>
  </si>
  <si>
    <t>Source</t>
  </si>
  <si>
    <t>Efficiency</t>
  </si>
  <si>
    <t>Useful energy (TJ)</t>
  </si>
  <si>
    <t>Petroleum for Power</t>
  </si>
  <si>
    <t>Usefuk energy (MWh)</t>
  </si>
  <si>
    <t>Petrol for power</t>
  </si>
  <si>
    <t>Diesel for power</t>
  </si>
  <si>
    <t>petrol other uses</t>
  </si>
  <si>
    <t>Diesel other uses</t>
  </si>
  <si>
    <t>Total petrol</t>
  </si>
  <si>
    <t>Total diesel</t>
  </si>
  <si>
    <t>Power generated (MW)</t>
  </si>
  <si>
    <t>Grid Electricity</t>
  </si>
  <si>
    <t>Isolated Gen set</t>
  </si>
  <si>
    <t>Availibility</t>
  </si>
  <si>
    <t>XINDBWDE</t>
  </si>
  <si>
    <t>Gen set capacity</t>
  </si>
  <si>
    <t>XINDCOAE</t>
  </si>
  <si>
    <t>Total gen set capacity</t>
  </si>
  <si>
    <t>XINDDSLE</t>
  </si>
  <si>
    <t>XINDELCE</t>
  </si>
  <si>
    <t>ELCGRD</t>
  </si>
  <si>
    <t>petroleum for Industrial power motiive</t>
  </si>
  <si>
    <t>XINDKERE</t>
  </si>
  <si>
    <t>XINDOGDE</t>
  </si>
  <si>
    <t>ELCOGD</t>
  </si>
  <si>
    <t>XINDOPPE</t>
  </si>
  <si>
    <t>Total Gen set capacity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</si>
</sst>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0.0%"/>
    <numFmt numFmtId="167" formatCode="#,##0.0"/>
    <numFmt numFmtId="168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</font>
    <font>
      <b/>
      <sz val="12"/>
      <name val="Arial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11" borderId="0" applyNumberFormat="0" applyBorder="0" applyAlignment="0" applyProtection="0"/>
    <xf numFmtId="0" fontId="9" fillId="0" borderId="6" applyNumberFormat="0" applyFill="0" applyAlignment="0" applyProtection="0"/>
  </cellStyleXfs>
  <cellXfs count="64">
    <xf numFmtId="0" fontId="0" fillId="0" borderId="0" xfId="0"/>
    <xf numFmtId="0" fontId="7" fillId="4" borderId="1" xfId="1" applyFont="1" applyFill="1" applyBorder="1" applyAlignment="1">
      <alignment horizontal="center"/>
    </xf>
    <xf numFmtId="0" fontId="6" fillId="0" borderId="0" xfId="1"/>
    <xf numFmtId="0" fontId="6" fillId="0" borderId="1" xfId="1" applyBorder="1"/>
    <xf numFmtId="0" fontId="2" fillId="5" borderId="1" xfId="1" applyFont="1" applyFill="1" applyBorder="1" applyAlignment="1">
      <alignment horizontal="center"/>
    </xf>
    <xf numFmtId="0" fontId="2" fillId="6" borderId="1" xfId="1" applyFont="1" applyFill="1" applyBorder="1" applyAlignment="1">
      <alignment horizontal="center"/>
    </xf>
    <xf numFmtId="0" fontId="2" fillId="7" borderId="1" xfId="1" applyFont="1" applyFill="1" applyBorder="1" applyAlignment="1">
      <alignment horizontal="center"/>
    </xf>
    <xf numFmtId="0" fontId="2" fillId="8" borderId="1" xfId="1" applyFont="1" applyFill="1" applyBorder="1" applyAlignment="1">
      <alignment horizontal="center"/>
    </xf>
    <xf numFmtId="0" fontId="2" fillId="9" borderId="3" xfId="1" applyFont="1" applyFill="1" applyBorder="1" applyAlignment="1">
      <alignment horizontal="center"/>
    </xf>
    <xf numFmtId="0" fontId="6" fillId="0" borderId="4" xfId="1" applyBorder="1"/>
    <xf numFmtId="0" fontId="6" fillId="0" borderId="5" xfId="1" applyBorder="1"/>
    <xf numFmtId="0" fontId="2" fillId="10" borderId="0" xfId="1" applyFont="1" applyFill="1" applyAlignment="1">
      <alignment horizontal="center"/>
    </xf>
    <xf numFmtId="0" fontId="6" fillId="0" borderId="1" xfId="1" applyBorder="1" applyAlignment="1">
      <alignment horizontal="center"/>
    </xf>
    <xf numFmtId="0" fontId="6" fillId="0" borderId="1" xfId="1" applyFill="1" applyBorder="1" applyAlignment="1">
      <alignment horizontal="center"/>
    </xf>
    <xf numFmtId="0" fontId="6" fillId="2" borderId="1" xfId="1" applyFill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0" fontId="6" fillId="0" borderId="2" xfId="1" applyFill="1" applyBorder="1" applyAlignment="1">
      <alignment horizontal="center"/>
    </xf>
    <xf numFmtId="0" fontId="2" fillId="0" borderId="1" xfId="1" applyFont="1" applyBorder="1"/>
    <xf numFmtId="165" fontId="0" fillId="0" borderId="1" xfId="2" applyNumberFormat="1" applyFont="1" applyBorder="1"/>
    <xf numFmtId="165" fontId="0" fillId="2" borderId="1" xfId="2" applyNumberFormat="1" applyFont="1" applyFill="1" applyBorder="1"/>
    <xf numFmtId="0" fontId="6" fillId="0" borderId="1" xfId="1" applyBorder="1" applyAlignment="1">
      <alignment horizontal="left" indent="1"/>
    </xf>
    <xf numFmtId="165" fontId="0" fillId="0" borderId="0" xfId="2" applyNumberFormat="1" applyFont="1"/>
    <xf numFmtId="165" fontId="0" fillId="3" borderId="1" xfId="2" applyNumberFormat="1" applyFont="1" applyFill="1" applyBorder="1"/>
    <xf numFmtId="0" fontId="6" fillId="2" borderId="1" xfId="1" applyFill="1" applyBorder="1"/>
    <xf numFmtId="0" fontId="6" fillId="0" borderId="1" xfId="1" applyFill="1" applyBorder="1"/>
    <xf numFmtId="165" fontId="0" fillId="0" borderId="1" xfId="2" applyNumberFormat="1" applyFont="1" applyFill="1" applyBorder="1"/>
    <xf numFmtId="0" fontId="6" fillId="0" borderId="0" xfId="1" applyFill="1"/>
    <xf numFmtId="10" fontId="6" fillId="0" borderId="1" xfId="1" applyNumberFormat="1" applyBorder="1"/>
    <xf numFmtId="165" fontId="1" fillId="3" borderId="1" xfId="2" applyNumberFormat="1" applyFont="1" applyFill="1" applyBorder="1"/>
    <xf numFmtId="0" fontId="2" fillId="0" borderId="1" xfId="1" applyFont="1" applyFill="1" applyBorder="1"/>
    <xf numFmtId="165" fontId="0" fillId="0" borderId="2" xfId="2" applyNumberFormat="1" applyFont="1" applyFill="1" applyBorder="1"/>
    <xf numFmtId="4" fontId="6" fillId="0" borderId="0" xfId="1" applyNumberFormat="1" applyFill="1" applyBorder="1"/>
    <xf numFmtId="3" fontId="6" fillId="0" borderId="0" xfId="1" applyNumberFormat="1"/>
    <xf numFmtId="3" fontId="3" fillId="0" borderId="0" xfId="1" applyNumberFormat="1" applyFont="1" applyFill="1"/>
    <xf numFmtId="166" fontId="0" fillId="0" borderId="0" xfId="3" applyNumberFormat="1" applyFont="1"/>
    <xf numFmtId="0" fontId="6" fillId="0" borderId="2" xfId="1" applyFill="1" applyBorder="1"/>
    <xf numFmtId="0" fontId="6" fillId="0" borderId="0" xfId="1" applyFill="1" applyBorder="1"/>
    <xf numFmtId="165" fontId="6" fillId="0" borderId="0" xfId="1" applyNumberFormat="1"/>
    <xf numFmtId="43" fontId="6" fillId="0" borderId="0" xfId="1" applyNumberFormat="1"/>
    <xf numFmtId="0" fontId="8" fillId="11" borderId="0" xfId="4"/>
    <xf numFmtId="0" fontId="1" fillId="0" borderId="0" xfId="1" applyFont="1"/>
    <xf numFmtId="165" fontId="0" fillId="0" borderId="0" xfId="2" applyNumberFormat="1" applyFont="1" applyBorder="1"/>
    <xf numFmtId="43" fontId="1" fillId="0" borderId="0" xfId="1" applyNumberFormat="1" applyFont="1"/>
    <xf numFmtId="9" fontId="6" fillId="0" borderId="0" xfId="1" applyNumberFormat="1"/>
    <xf numFmtId="9" fontId="0" fillId="0" borderId="0" xfId="3" applyFont="1"/>
    <xf numFmtId="0" fontId="9" fillId="0" borderId="6" xfId="5"/>
    <xf numFmtId="167" fontId="6" fillId="0" borderId="0" xfId="1" applyNumberFormat="1"/>
    <xf numFmtId="168" fontId="0" fillId="0" borderId="0" xfId="2" applyNumberFormat="1" applyFont="1"/>
    <xf numFmtId="4" fontId="6" fillId="0" borderId="0" xfId="1" applyNumberFormat="1"/>
    <xf numFmtId="1" fontId="6" fillId="0" borderId="0" xfId="1" applyNumberFormat="1"/>
    <xf numFmtId="0" fontId="1" fillId="3" borderId="0" xfId="1" applyFont="1" applyFill="1"/>
    <xf numFmtId="1" fontId="6" fillId="3" borderId="0" xfId="1" applyNumberFormat="1" applyFill="1"/>
    <xf numFmtId="0" fontId="6" fillId="3" borderId="0" xfId="1" applyFill="1"/>
    <xf numFmtId="168" fontId="0" fillId="3" borderId="0" xfId="2" applyNumberFormat="1" applyFont="1" applyFill="1"/>
    <xf numFmtId="0" fontId="6" fillId="3" borderId="1" xfId="1" applyFill="1" applyBorder="1" applyAlignment="1">
      <alignment horizontal="left" indent="1"/>
    </xf>
    <xf numFmtId="165" fontId="6" fillId="3" borderId="0" xfId="1" applyNumberFormat="1" applyFill="1"/>
    <xf numFmtId="43" fontId="6" fillId="3" borderId="0" xfId="1" applyNumberFormat="1" applyFill="1"/>
    <xf numFmtId="165" fontId="0" fillId="3" borderId="0" xfId="2" applyNumberFormat="1" applyFont="1" applyFill="1"/>
    <xf numFmtId="4" fontId="6" fillId="3" borderId="0" xfId="1" applyNumberFormat="1" applyFill="1"/>
    <xf numFmtId="168" fontId="2" fillId="0" borderId="0" xfId="2" applyNumberFormat="1" applyFont="1" applyBorder="1"/>
    <xf numFmtId="168" fontId="2" fillId="0" borderId="0" xfId="1" applyNumberFormat="1" applyFont="1" applyBorder="1"/>
    <xf numFmtId="0" fontId="6" fillId="0" borderId="7" xfId="1" applyBorder="1"/>
    <xf numFmtId="0" fontId="6" fillId="0" borderId="0" xfId="1" applyBorder="1"/>
  </cellXfs>
  <cellStyles count="6">
    <cellStyle name="Comma 2" xfId="2"/>
    <cellStyle name="Good 2" xfId="4"/>
    <cellStyle name="Heading 2 2" xfId="5"/>
    <cellStyle name="Normal" xfId="0" builtinId="0"/>
    <cellStyle name="Normal 2" xfId="1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mrit%20Nakarmi\Dropbox\Anzoo%20MARKAL%20Model_29sept2015\10dec%202015_MARKAL_interim_plan\MARKAL_2015_INTERIM%20PLAN_AGR,RES,COMM,IN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Sv6.1-Home"/>
      <sheetName val="Info"/>
      <sheetName val="Energy Balance_2015 "/>
      <sheetName val="Global"/>
      <sheetName val="EB_AGR"/>
      <sheetName val="EB_COM"/>
      <sheetName val="EB_IND"/>
      <sheetName val="EB_RSD"/>
      <sheetName val="EB_TRN"/>
      <sheetName val="EB_CON"/>
      <sheetName val="Supply_Assumptions"/>
      <sheetName val="ANSv6.0-ConstrData"/>
      <sheetName val="ANSv6.0-TechData"/>
      <sheetName val="ANSv6.0-CommData"/>
      <sheetName val="ANSv6.0-Constraints"/>
      <sheetName val="ANSv6.0-Technologies"/>
      <sheetName val="ANSv6.0-Commodities"/>
      <sheetName val="ANSv6.1-Commodities"/>
      <sheetName val="Commodities"/>
      <sheetName val="ANSv6.1-Technologies"/>
      <sheetName val="Technologies"/>
      <sheetName val="ANSv6.1-Constraints"/>
      <sheetName val="ANSv6.1-CommData"/>
      <sheetName val="ANSv6.1-TechData"/>
      <sheetName val="Demand_Projection"/>
      <sheetName val="ENT data"/>
      <sheetName val="DMDTech_Data"/>
      <sheetName val="Supply_Data"/>
      <sheetName val="XPrc_Data"/>
      <sheetName val="CON_Data"/>
      <sheetName val="Constraints"/>
      <sheetName val="ConstrData"/>
      <sheetName val="TPP all data"/>
      <sheetName val="acronyms"/>
      <sheetName val="Alt EB"/>
      <sheetName val="Convs"/>
      <sheetName val="ANSv6.1-ConstrData"/>
      <sheetName val="Sheet1"/>
    </sheetNames>
    <sheetDataSet>
      <sheetData sheetId="0"/>
      <sheetData sheetId="1"/>
      <sheetData sheetId="2"/>
      <sheetData sheetId="3">
        <row r="3">
          <cell r="B3">
            <v>5</v>
          </cell>
        </row>
        <row r="4">
          <cell r="B4">
            <v>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1"/>
  <sheetViews>
    <sheetView tabSelected="1" topLeftCell="A3" workbookViewId="0">
      <pane ySplit="1" topLeftCell="A4" activePane="bottomLeft" state="frozen"/>
      <selection activeCell="J3" sqref="J3"/>
      <selection pane="bottomLeft" activeCell="I28" sqref="I28"/>
    </sheetView>
  </sheetViews>
  <sheetFormatPr defaultRowHeight="12.7" x14ac:dyDescent="0.4"/>
  <cols>
    <col min="1" max="1" width="38.87890625" style="2" bestFit="1" customWidth="1"/>
    <col min="2" max="2" width="12.1171875" style="2" customWidth="1"/>
    <col min="3" max="3" width="10.5859375" style="2" bestFit="1" customWidth="1"/>
    <col min="4" max="4" width="9.29296875" style="2" bestFit="1" customWidth="1"/>
    <col min="5" max="5" width="11.29296875" style="2" bestFit="1" customWidth="1"/>
    <col min="6" max="6" width="15.5859375" style="2" customWidth="1"/>
    <col min="7" max="9" width="9" style="2" bestFit="1" customWidth="1"/>
    <col min="10" max="10" width="23" style="2" bestFit="1" customWidth="1"/>
    <col min="11" max="11" width="13.41015625" style="2" bestFit="1" customWidth="1"/>
    <col min="12" max="12" width="14.703125" style="2" bestFit="1" customWidth="1"/>
    <col min="13" max="13" width="9" style="2" bestFit="1" customWidth="1"/>
    <col min="14" max="14" width="8.9375" style="2"/>
    <col min="15" max="15" width="11.703125" style="2" customWidth="1"/>
    <col min="16" max="16" width="11" style="2" customWidth="1"/>
    <col min="17" max="17" width="9.29296875" style="2" bestFit="1" customWidth="1"/>
    <col min="18" max="18" width="9.87890625" style="2" customWidth="1"/>
    <col min="19" max="19" width="10.1171875" style="2" customWidth="1"/>
    <col min="20" max="20" width="10.41015625" style="2" bestFit="1" customWidth="1"/>
    <col min="21" max="22" width="9" style="2" bestFit="1" customWidth="1"/>
    <col min="23" max="23" width="10.703125" style="2" bestFit="1" customWidth="1"/>
    <col min="24" max="24" width="9.703125" style="2" bestFit="1" customWidth="1"/>
    <col min="25" max="25" width="10.41015625" style="2" bestFit="1" customWidth="1"/>
    <col min="26" max="16384" width="8.9375" style="2"/>
  </cols>
  <sheetData>
    <row r="1" spans="1:26" ht="15.35" x14ac:dyDescent="0.5">
      <c r="A1" s="1" t="s">
        <v>58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6" x14ac:dyDescent="0.4">
      <c r="A2" s="3"/>
      <c r="B2" s="3"/>
      <c r="C2" s="4" t="s">
        <v>59</v>
      </c>
      <c r="D2" s="4"/>
      <c r="E2" s="4"/>
      <c r="F2" s="4"/>
      <c r="G2" s="4"/>
      <c r="H2" s="4"/>
      <c r="I2" s="4"/>
      <c r="J2" s="5" t="s">
        <v>7</v>
      </c>
      <c r="K2" s="6" t="s">
        <v>10</v>
      </c>
      <c r="L2" s="6"/>
      <c r="M2" s="6"/>
      <c r="N2" s="7" t="s">
        <v>60</v>
      </c>
      <c r="O2" s="7"/>
      <c r="P2" s="7"/>
      <c r="Q2" s="7"/>
      <c r="R2" s="8" t="s">
        <v>61</v>
      </c>
      <c r="S2" s="9"/>
      <c r="T2" s="9"/>
      <c r="U2" s="9"/>
      <c r="V2" s="9"/>
      <c r="W2" s="10"/>
      <c r="X2" s="11" t="s">
        <v>62</v>
      </c>
    </row>
    <row r="3" spans="1:26" x14ac:dyDescent="0.4">
      <c r="A3" s="3"/>
      <c r="B3" s="3"/>
      <c r="C3" s="12" t="s">
        <v>0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2" t="s">
        <v>6</v>
      </c>
      <c r="J3" s="12" t="s">
        <v>7</v>
      </c>
      <c r="K3" s="12" t="s">
        <v>8</v>
      </c>
      <c r="L3" s="12" t="s">
        <v>9</v>
      </c>
      <c r="M3" s="12" t="s">
        <v>10</v>
      </c>
      <c r="N3" s="12" t="s">
        <v>11</v>
      </c>
      <c r="O3" s="12" t="s">
        <v>12</v>
      </c>
      <c r="P3" s="12" t="s">
        <v>13</v>
      </c>
      <c r="Q3" s="12" t="s">
        <v>14</v>
      </c>
      <c r="R3" s="12" t="s">
        <v>15</v>
      </c>
      <c r="S3" s="12" t="s">
        <v>16</v>
      </c>
      <c r="T3" s="12" t="s">
        <v>17</v>
      </c>
      <c r="U3" s="13" t="s">
        <v>18</v>
      </c>
      <c r="V3" s="12" t="s">
        <v>19</v>
      </c>
      <c r="W3" s="12" t="s">
        <v>14</v>
      </c>
      <c r="X3" s="14" t="s">
        <v>20</v>
      </c>
      <c r="Y3" s="2" t="s">
        <v>63</v>
      </c>
      <c r="Z3" s="2" t="s">
        <v>64</v>
      </c>
    </row>
    <row r="4" spans="1:26" x14ac:dyDescent="0.4">
      <c r="A4" s="3"/>
      <c r="B4" s="3"/>
      <c r="C4" s="12" t="s">
        <v>21</v>
      </c>
      <c r="D4" s="12" t="s">
        <v>22</v>
      </c>
      <c r="E4" s="12" t="s">
        <v>23</v>
      </c>
      <c r="F4" s="15" t="s">
        <v>24</v>
      </c>
      <c r="G4" s="12" t="s">
        <v>25</v>
      </c>
      <c r="H4" s="12" t="s">
        <v>26</v>
      </c>
      <c r="I4" s="12"/>
      <c r="J4" s="12" t="s">
        <v>27</v>
      </c>
      <c r="K4" s="15" t="s">
        <v>28</v>
      </c>
      <c r="L4" s="12"/>
      <c r="M4" s="12" t="s">
        <v>29</v>
      </c>
      <c r="N4" s="12" t="s">
        <v>30</v>
      </c>
      <c r="O4" s="12" t="s">
        <v>31</v>
      </c>
      <c r="P4" s="12" t="s">
        <v>32</v>
      </c>
      <c r="Q4" s="12"/>
      <c r="R4" s="12" t="s">
        <v>33</v>
      </c>
      <c r="S4" s="15" t="s">
        <v>34</v>
      </c>
      <c r="T4" s="15" t="s">
        <v>35</v>
      </c>
      <c r="U4" s="16" t="s">
        <v>36</v>
      </c>
      <c r="V4" s="12" t="s">
        <v>37</v>
      </c>
      <c r="W4" s="12"/>
      <c r="X4" s="14"/>
      <c r="Y4" s="17" t="s">
        <v>65</v>
      </c>
      <c r="Z4" s="17" t="s">
        <v>66</v>
      </c>
    </row>
    <row r="5" spans="1:26" ht="14.35" x14ac:dyDescent="0.5">
      <c r="A5" s="18" t="s">
        <v>38</v>
      </c>
      <c r="B5" s="3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20"/>
    </row>
    <row r="6" spans="1:26" ht="14.35" x14ac:dyDescent="0.5">
      <c r="A6" s="21" t="s">
        <v>39</v>
      </c>
      <c r="B6" s="3"/>
      <c r="C6" s="19"/>
      <c r="D6" s="19"/>
      <c r="E6" s="19"/>
      <c r="F6" s="19"/>
      <c r="G6" s="19"/>
      <c r="H6" s="19"/>
      <c r="I6" s="19">
        <f>(SUM(C6:H6))</f>
        <v>0</v>
      </c>
      <c r="J6" s="19"/>
      <c r="K6" s="19">
        <v>16355.565000000001</v>
      </c>
      <c r="L6" s="19">
        <v>12.754285714285716</v>
      </c>
      <c r="M6" s="19"/>
      <c r="N6" s="19">
        <v>339549.23515415518</v>
      </c>
      <c r="O6" s="19">
        <v>16781.744146078549</v>
      </c>
      <c r="P6" s="19">
        <v>12984.590658778028</v>
      </c>
      <c r="Q6" s="19">
        <f>SUM(N6:P6)</f>
        <v>369315.56995901174</v>
      </c>
      <c r="R6" s="19">
        <v>14138</v>
      </c>
      <c r="S6" s="19">
        <v>369</v>
      </c>
      <c r="T6" s="19">
        <v>81</v>
      </c>
      <c r="U6" s="19">
        <f>0</f>
        <v>0</v>
      </c>
      <c r="V6" s="19">
        <v>0</v>
      </c>
      <c r="W6" s="19">
        <f>SUM(R6:V6)</f>
        <v>14588</v>
      </c>
      <c r="X6" s="20">
        <f>I6+J6+M6+Q6+W6</f>
        <v>383903.56995901174</v>
      </c>
    </row>
    <row r="7" spans="1:26" ht="14.35" x14ac:dyDescent="0.5">
      <c r="A7" s="21" t="s">
        <v>40</v>
      </c>
      <c r="B7" s="3"/>
      <c r="C7" s="19">
        <v>9695.3273080992003</v>
      </c>
      <c r="D7" s="19">
        <v>33209.973175175997</v>
      </c>
      <c r="E7" s="19">
        <v>696.72679727687989</v>
      </c>
      <c r="F7" s="19">
        <v>4475.1559021632002</v>
      </c>
      <c r="G7" s="19">
        <v>11580.16545</v>
      </c>
      <c r="H7" s="22">
        <f>532+76</f>
        <v>608</v>
      </c>
      <c r="I7" s="19">
        <f>(SUM(C7:H7))</f>
        <v>60265.348632715279</v>
      </c>
      <c r="J7" s="19">
        <v>20205</v>
      </c>
      <c r="K7" s="19"/>
      <c r="L7" s="19"/>
      <c r="M7" s="19">
        <v>4931.6040000000003</v>
      </c>
      <c r="N7" s="19"/>
      <c r="O7" s="19"/>
      <c r="P7" s="19"/>
      <c r="Q7" s="19"/>
      <c r="R7" s="19"/>
      <c r="S7" s="19"/>
      <c r="T7" s="19"/>
      <c r="U7" s="19"/>
      <c r="V7" s="19"/>
      <c r="W7" s="19">
        <f>SUM(R7:V7)</f>
        <v>0</v>
      </c>
      <c r="X7" s="20">
        <f>I7+J7+M7+Q7+W7</f>
        <v>85401.952632715285</v>
      </c>
    </row>
    <row r="8" spans="1:26" ht="14.35" x14ac:dyDescent="0.5">
      <c r="A8" s="21" t="s">
        <v>41</v>
      </c>
      <c r="B8" s="3"/>
      <c r="C8" s="19"/>
      <c r="D8" s="19"/>
      <c r="E8" s="19"/>
      <c r="F8" s="19"/>
      <c r="G8" s="19"/>
      <c r="H8" s="19"/>
      <c r="I8" s="19">
        <f>(SUM(C8:H8))</f>
        <v>0</v>
      </c>
      <c r="J8" s="19"/>
      <c r="K8" s="19"/>
      <c r="L8" s="19"/>
      <c r="M8" s="22">
        <v>-11.556000000000001</v>
      </c>
      <c r="N8" s="19"/>
      <c r="O8" s="19"/>
      <c r="P8" s="19"/>
      <c r="Q8" s="19"/>
      <c r="R8" s="19"/>
      <c r="S8" s="19"/>
      <c r="T8" s="19"/>
      <c r="U8" s="19"/>
      <c r="V8" s="19"/>
      <c r="W8" s="19">
        <f>SUM(R8:V8)</f>
        <v>0</v>
      </c>
      <c r="X8" s="20">
        <f>I8+J8+M8+Q8+W8</f>
        <v>-11.556000000000001</v>
      </c>
    </row>
    <row r="9" spans="1:26" ht="14.35" x14ac:dyDescent="0.5">
      <c r="A9" s="21" t="s">
        <v>42</v>
      </c>
      <c r="B9" s="3"/>
      <c r="C9" s="19">
        <v>-131.47509939839983</v>
      </c>
      <c r="D9" s="19">
        <v>-717.21793180800159</v>
      </c>
      <c r="E9" s="19">
        <v>-35.934231741839994</v>
      </c>
      <c r="F9" s="23">
        <v>-81.484489684799883</v>
      </c>
      <c r="G9" s="23">
        <v>0</v>
      </c>
      <c r="H9" s="23">
        <v>0</v>
      </c>
      <c r="I9" s="19">
        <f>(SUM(C9:H9))</f>
        <v>-966.11175263304131</v>
      </c>
      <c r="J9" s="23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>
        <f>SUM(R9:V9)</f>
        <v>0</v>
      </c>
      <c r="X9" s="20">
        <f>I9+J9+M9+Q9+W9</f>
        <v>-966.11175263304131</v>
      </c>
    </row>
    <row r="10" spans="1:26" ht="14.35" x14ac:dyDescent="0.5">
      <c r="A10" s="24" t="s">
        <v>43</v>
      </c>
      <c r="B10" s="24"/>
      <c r="C10" s="20">
        <f t="shared" ref="C10:L10" si="0">SUM(C6:C9)</f>
        <v>9563.8522087008005</v>
      </c>
      <c r="D10" s="20">
        <f>SUM(D6:D9)</f>
        <v>32492.755243367996</v>
      </c>
      <c r="E10" s="20">
        <f>SUM(E6:E9)</f>
        <v>660.7925655350399</v>
      </c>
      <c r="F10" s="20">
        <f>SUM(F6:F9)</f>
        <v>4393.6714124784003</v>
      </c>
      <c r="G10" s="20">
        <f>SUM(G6:G9)</f>
        <v>11580.16545</v>
      </c>
      <c r="H10" s="20">
        <f t="shared" si="0"/>
        <v>608</v>
      </c>
      <c r="I10" s="20">
        <f t="shared" si="0"/>
        <v>59299.236880082237</v>
      </c>
      <c r="J10" s="20">
        <f t="shared" si="0"/>
        <v>20205</v>
      </c>
      <c r="K10" s="20">
        <f t="shared" si="0"/>
        <v>16355.565000000001</v>
      </c>
      <c r="L10" s="20">
        <f t="shared" si="0"/>
        <v>12.754285714285716</v>
      </c>
      <c r="M10" s="20">
        <f t="shared" ref="M10:W10" si="1">SUM(M6:M9)</f>
        <v>4920.0480000000007</v>
      </c>
      <c r="N10" s="20">
        <f t="shared" si="1"/>
        <v>339549.23515415518</v>
      </c>
      <c r="O10" s="20">
        <f t="shared" si="1"/>
        <v>16781.744146078549</v>
      </c>
      <c r="P10" s="20">
        <f t="shared" si="1"/>
        <v>12984.590658778028</v>
      </c>
      <c r="Q10" s="20">
        <f t="shared" si="1"/>
        <v>369315.56995901174</v>
      </c>
      <c r="R10" s="20">
        <f t="shared" si="1"/>
        <v>14138</v>
      </c>
      <c r="S10" s="20">
        <f t="shared" si="1"/>
        <v>369</v>
      </c>
      <c r="T10" s="20">
        <f t="shared" si="1"/>
        <v>81</v>
      </c>
      <c r="U10" s="20">
        <f t="shared" si="1"/>
        <v>0</v>
      </c>
      <c r="V10" s="20">
        <f t="shared" si="1"/>
        <v>0</v>
      </c>
      <c r="W10" s="20">
        <f t="shared" si="1"/>
        <v>14588</v>
      </c>
      <c r="X10" s="20">
        <f>I10+J10+K10+M10+Q10+W10</f>
        <v>484683.41983909399</v>
      </c>
    </row>
    <row r="11" spans="1:26" s="27" customFormat="1" ht="14.35" x14ac:dyDescent="0.5">
      <c r="A11" s="2" t="s">
        <v>44</v>
      </c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>
        <f>SUM(C11:W11)</f>
        <v>0</v>
      </c>
    </row>
    <row r="12" spans="1:26" ht="14.35" x14ac:dyDescent="0.5">
      <c r="A12" s="18" t="s">
        <v>45</v>
      </c>
      <c r="B12" s="3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</row>
    <row r="13" spans="1:26" ht="14.35" x14ac:dyDescent="0.5">
      <c r="A13" s="21" t="s">
        <v>46</v>
      </c>
      <c r="B13" s="3"/>
      <c r="C13" s="23"/>
      <c r="D13" s="23"/>
      <c r="E13" s="23"/>
      <c r="F13" s="19"/>
      <c r="G13" s="19"/>
      <c r="H13" s="19"/>
      <c r="I13" s="19">
        <f>SUM(C13:H13)</f>
        <v>0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>
        <f>SUM(R13:V13)</f>
        <v>0</v>
      </c>
      <c r="X13" s="20">
        <f>I13+J13+M13+Q13+W13</f>
        <v>0</v>
      </c>
    </row>
    <row r="14" spans="1:26" ht="14.35" x14ac:dyDescent="0.5">
      <c r="A14" s="21" t="s">
        <v>47</v>
      </c>
      <c r="B14" s="3"/>
      <c r="C14" s="19"/>
      <c r="D14" s="19">
        <v>-13</v>
      </c>
      <c r="E14" s="19"/>
      <c r="F14" s="19"/>
      <c r="G14" s="19"/>
      <c r="H14" s="19"/>
      <c r="I14" s="19">
        <f>SUM(C14:H14)</f>
        <v>-13</v>
      </c>
      <c r="J14" s="19"/>
      <c r="K14" s="19">
        <f>K10*0.8</f>
        <v>13084.452000000001</v>
      </c>
      <c r="L14" s="19">
        <f>-SUM(C13:D13)*35%+L10*0.35</f>
        <v>4.4640000000000004</v>
      </c>
      <c r="M14" s="19">
        <f>K14+L14</f>
        <v>13088.916000000001</v>
      </c>
      <c r="N14" s="19"/>
      <c r="O14" s="19"/>
      <c r="P14" s="19"/>
      <c r="Q14" s="19"/>
      <c r="R14" s="19"/>
      <c r="S14" s="19"/>
      <c r="T14" s="19"/>
      <c r="U14" s="19"/>
      <c r="V14" s="19"/>
      <c r="W14" s="19">
        <f>SUM(R14:V14)</f>
        <v>0</v>
      </c>
      <c r="X14" s="20">
        <f>I14+J14+M14+Q14+W14</f>
        <v>13075.916000000001</v>
      </c>
    </row>
    <row r="15" spans="1:26" ht="14.35" x14ac:dyDescent="0.5">
      <c r="A15" s="21" t="s">
        <v>48</v>
      </c>
      <c r="B15" s="28"/>
      <c r="C15" s="19"/>
      <c r="D15" s="19"/>
      <c r="E15" s="19"/>
      <c r="F15" s="19"/>
      <c r="G15" s="19"/>
      <c r="H15" s="19"/>
      <c r="I15" s="19">
        <f>SUM(C15:H15)</f>
        <v>0</v>
      </c>
      <c r="J15" s="19"/>
      <c r="K15" s="19"/>
      <c r="L15" s="19"/>
      <c r="M15" s="29">
        <v>-4413.2722559999984</v>
      </c>
      <c r="N15" s="19"/>
      <c r="O15" s="19"/>
      <c r="P15" s="19"/>
      <c r="Q15" s="19"/>
      <c r="R15" s="19"/>
      <c r="S15" s="19"/>
      <c r="T15" s="19"/>
      <c r="U15" s="19"/>
      <c r="V15" s="19"/>
      <c r="W15" s="19">
        <f>SUM(R15:V15)</f>
        <v>0</v>
      </c>
      <c r="X15" s="20">
        <f>I15+J15+M15+Q15+W15</f>
        <v>-4413.2722559999984</v>
      </c>
    </row>
    <row r="16" spans="1:26" ht="14.35" x14ac:dyDescent="0.5">
      <c r="A16" s="21" t="s">
        <v>49</v>
      </c>
      <c r="B16" s="3"/>
      <c r="C16" s="19"/>
      <c r="D16" s="19"/>
      <c r="E16" s="19"/>
      <c r="F16" s="19"/>
      <c r="G16" s="19"/>
      <c r="H16" s="19"/>
      <c r="I16" s="19"/>
      <c r="J16" s="19"/>
      <c r="K16" s="19">
        <f>K14-K10</f>
        <v>-3271.1129999999994</v>
      </c>
      <c r="L16" s="19"/>
      <c r="M16" s="19">
        <v>-130</v>
      </c>
      <c r="N16" s="19"/>
      <c r="O16" s="19"/>
      <c r="P16" s="19"/>
      <c r="Q16" s="19"/>
      <c r="R16" s="19"/>
      <c r="S16" s="19"/>
      <c r="T16" s="19"/>
      <c r="U16" s="19"/>
      <c r="V16" s="19"/>
      <c r="W16" s="19">
        <f>SUM(R16:V16)</f>
        <v>0</v>
      </c>
      <c r="X16" s="20"/>
    </row>
    <row r="17" spans="1:25" ht="14.35" x14ac:dyDescent="0.5">
      <c r="A17" s="24" t="s">
        <v>50</v>
      </c>
      <c r="B17" s="24"/>
      <c r="C17" s="20">
        <f>SUM(C10,C13:C16)</f>
        <v>9563.8522087008005</v>
      </c>
      <c r="D17" s="20">
        <f t="shared" ref="D17:J17" si="2">D10+SUM(D13:D16)</f>
        <v>32479.755243367996</v>
      </c>
      <c r="E17" s="20">
        <f t="shared" si="2"/>
        <v>660.7925655350399</v>
      </c>
      <c r="F17" s="20">
        <f t="shared" si="2"/>
        <v>4393.6714124784003</v>
      </c>
      <c r="G17" s="20">
        <f t="shared" si="2"/>
        <v>11580.16545</v>
      </c>
      <c r="H17" s="20">
        <f t="shared" si="2"/>
        <v>608</v>
      </c>
      <c r="I17" s="20">
        <f t="shared" si="2"/>
        <v>59286.236880082237</v>
      </c>
      <c r="J17" s="20">
        <f t="shared" si="2"/>
        <v>20205</v>
      </c>
      <c r="K17" s="20"/>
      <c r="L17" s="20"/>
      <c r="M17" s="20">
        <f>M10+SUM(M13:M16)</f>
        <v>13465.691744000003</v>
      </c>
      <c r="N17" s="20">
        <f t="shared" ref="N17:W17" si="3">N10+SUM(N13:N16)</f>
        <v>339549.23515415518</v>
      </c>
      <c r="O17" s="20">
        <f t="shared" si="3"/>
        <v>16781.744146078549</v>
      </c>
      <c r="P17" s="20">
        <f t="shared" si="3"/>
        <v>12984.590658778028</v>
      </c>
      <c r="Q17" s="20">
        <f t="shared" si="3"/>
        <v>369315.56995901174</v>
      </c>
      <c r="R17" s="20">
        <f t="shared" si="3"/>
        <v>14138</v>
      </c>
      <c r="S17" s="20">
        <f t="shared" si="3"/>
        <v>369</v>
      </c>
      <c r="T17" s="20">
        <f t="shared" si="3"/>
        <v>81</v>
      </c>
      <c r="U17" s="20">
        <f t="shared" si="3"/>
        <v>0</v>
      </c>
      <c r="V17" s="20">
        <f t="shared" si="3"/>
        <v>0</v>
      </c>
      <c r="W17" s="20">
        <f t="shared" si="3"/>
        <v>14588</v>
      </c>
      <c r="X17" s="20">
        <f>I17+J17+M17+Q17+W17</f>
        <v>476860.49858309398</v>
      </c>
    </row>
    <row r="18" spans="1:25" s="27" customFormat="1" ht="14.35" x14ac:dyDescent="0.5">
      <c r="A18" s="25"/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5" ht="14.35" x14ac:dyDescent="0.5">
      <c r="A19" s="30" t="s">
        <v>51</v>
      </c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5" ht="14.35" x14ac:dyDescent="0.5">
      <c r="A20" s="21" t="s">
        <v>52</v>
      </c>
      <c r="B20" s="3"/>
      <c r="C20" s="19">
        <f>S39</f>
        <v>1260.3167909189699</v>
      </c>
      <c r="D20" s="19">
        <f>T39</f>
        <v>7450.2081699881528</v>
      </c>
      <c r="E20" s="19">
        <v>29.806309199234821</v>
      </c>
      <c r="F20" s="19">
        <v>0</v>
      </c>
      <c r="G20" s="19">
        <v>0</v>
      </c>
      <c r="H20" s="19">
        <f>264+76</f>
        <v>340</v>
      </c>
      <c r="I20" s="19">
        <f t="shared" ref="I20:I25" si="4">SUM(C20:H20)</f>
        <v>9080.3312701063587</v>
      </c>
      <c r="J20" s="19">
        <v>18742.651423987791</v>
      </c>
      <c r="K20" s="19"/>
      <c r="L20" s="19"/>
      <c r="M20" s="19">
        <v>4893.6239999999998</v>
      </c>
      <c r="N20" s="19">
        <v>8998.0310762467216</v>
      </c>
      <c r="O20" s="19"/>
      <c r="P20" s="19"/>
      <c r="Q20" s="19">
        <f t="shared" ref="Q20:Q25" si="5">SUM(N20:P20)</f>
        <v>8998.0310762467216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f t="shared" ref="W20:W25" si="6">SUM(R20:V20)</f>
        <v>0</v>
      </c>
      <c r="X20" s="20">
        <f t="shared" ref="X20:X25" si="7">I20+J20+M20+Q20+W20</f>
        <v>41714.637770340873</v>
      </c>
      <c r="Y20" s="31">
        <v>38450</v>
      </c>
    </row>
    <row r="21" spans="1:25" ht="14.35" x14ac:dyDescent="0.5">
      <c r="A21" s="21" t="s">
        <v>53</v>
      </c>
      <c r="B21" s="3"/>
      <c r="C21" s="19">
        <f t="shared" ref="C21:D25" si="8">S40</f>
        <v>0</v>
      </c>
      <c r="D21" s="19">
        <f t="shared" si="8"/>
        <v>0</v>
      </c>
      <c r="E21" s="19">
        <v>501.61852953961642</v>
      </c>
      <c r="F21" s="19">
        <v>0</v>
      </c>
      <c r="G21" s="19">
        <v>7389.292251864993</v>
      </c>
      <c r="H21" s="19">
        <v>259</v>
      </c>
      <c r="I21" s="19">
        <f t="shared" si="4"/>
        <v>8149.9107814046092</v>
      </c>
      <c r="J21" s="19">
        <v>0</v>
      </c>
      <c r="K21" s="19"/>
      <c r="L21" s="19"/>
      <c r="M21" s="19">
        <v>6034.9680000000008</v>
      </c>
      <c r="N21" s="19">
        <v>321451.28871006495</v>
      </c>
      <c r="O21" s="19">
        <f>O17</f>
        <v>16781.744146078549</v>
      </c>
      <c r="P21" s="19">
        <f>P17</f>
        <v>12984.590658778028</v>
      </c>
      <c r="Q21" s="19">
        <f t="shared" si="5"/>
        <v>351217.62351492152</v>
      </c>
      <c r="R21" s="19">
        <f>R17</f>
        <v>14138</v>
      </c>
      <c r="S21" s="19">
        <v>369.33805981563796</v>
      </c>
      <c r="T21" s="19">
        <v>80.53150967845562</v>
      </c>
      <c r="U21" s="19"/>
      <c r="V21" s="19"/>
      <c r="W21" s="19">
        <f t="shared" si="6"/>
        <v>14587.869569494094</v>
      </c>
      <c r="X21" s="20">
        <f t="shared" si="7"/>
        <v>379990.37186582026</v>
      </c>
    </row>
    <row r="22" spans="1:25" ht="14.35" x14ac:dyDescent="0.5">
      <c r="A22" s="21" t="s">
        <v>54</v>
      </c>
      <c r="B22" s="3"/>
      <c r="C22" s="19">
        <f t="shared" si="8"/>
        <v>270.04895438467446</v>
      </c>
      <c r="D22" s="19">
        <f t="shared" si="8"/>
        <v>459.95644952897476</v>
      </c>
      <c r="E22" s="19">
        <v>129.36772679618858</v>
      </c>
      <c r="F22" s="19">
        <v>0</v>
      </c>
      <c r="G22" s="19">
        <v>3905.9946603280596</v>
      </c>
      <c r="H22" s="19">
        <v>8.6470248648794161</v>
      </c>
      <c r="I22" s="19">
        <f t="shared" si="4"/>
        <v>4774.0148159027767</v>
      </c>
      <c r="J22" s="19">
        <v>1462.0086904334482</v>
      </c>
      <c r="K22" s="19"/>
      <c r="L22" s="19"/>
      <c r="M22" s="19">
        <v>1087.5600000000002</v>
      </c>
      <c r="N22" s="19">
        <v>9099.9153678435541</v>
      </c>
      <c r="O22" s="19"/>
      <c r="P22" s="19"/>
      <c r="Q22" s="19">
        <f t="shared" si="5"/>
        <v>9099.9153678435541</v>
      </c>
      <c r="R22" s="19"/>
      <c r="S22" s="19"/>
      <c r="T22" s="19"/>
      <c r="U22" s="19"/>
      <c r="V22" s="19"/>
      <c r="W22" s="19">
        <f t="shared" si="6"/>
        <v>0</v>
      </c>
      <c r="X22" s="20">
        <f t="shared" si="7"/>
        <v>16423.498874179779</v>
      </c>
    </row>
    <row r="23" spans="1:25" ht="14.35" x14ac:dyDescent="0.5">
      <c r="A23" s="21" t="s">
        <v>55</v>
      </c>
      <c r="B23" s="3"/>
      <c r="C23" s="19">
        <f t="shared" si="8"/>
        <v>7956.8703016736736</v>
      </c>
      <c r="D23" s="19">
        <f t="shared" si="8"/>
        <v>19560.018348536309</v>
      </c>
      <c r="E23" s="19">
        <v>0</v>
      </c>
      <c r="F23" s="19">
        <v>4394</v>
      </c>
      <c r="G23" s="19">
        <v>284.87853780694729</v>
      </c>
      <c r="H23" s="19">
        <v>0</v>
      </c>
      <c r="I23" s="19">
        <f t="shared" si="4"/>
        <v>32195.767188016929</v>
      </c>
      <c r="J23" s="19">
        <v>0</v>
      </c>
      <c r="K23" s="19"/>
      <c r="L23" s="19"/>
      <c r="M23" s="19">
        <v>23.58</v>
      </c>
      <c r="N23" s="19">
        <v>0</v>
      </c>
      <c r="O23" s="19"/>
      <c r="P23" s="19"/>
      <c r="Q23" s="19">
        <f t="shared" si="5"/>
        <v>0</v>
      </c>
      <c r="R23" s="19"/>
      <c r="S23" s="19"/>
      <c r="T23" s="19"/>
      <c r="U23" s="19"/>
      <c r="V23" s="19"/>
      <c r="W23" s="19">
        <f t="shared" si="6"/>
        <v>0</v>
      </c>
      <c r="X23" s="20">
        <f t="shared" si="7"/>
        <v>32219.347188016931</v>
      </c>
    </row>
    <row r="24" spans="1:25" ht="14.35" x14ac:dyDescent="0.5">
      <c r="A24" s="21" t="s">
        <v>56</v>
      </c>
      <c r="B24" s="3"/>
      <c r="C24" s="19">
        <f t="shared" si="8"/>
        <v>76.461585604368096</v>
      </c>
      <c r="D24" s="19">
        <f t="shared" si="8"/>
        <v>5009.8700519872564</v>
      </c>
      <c r="E24" s="19">
        <v>0</v>
      </c>
      <c r="F24" s="19">
        <v>0</v>
      </c>
      <c r="G24" s="19">
        <v>0</v>
      </c>
      <c r="H24" s="19">
        <v>0</v>
      </c>
      <c r="I24" s="19">
        <f t="shared" si="4"/>
        <v>5086.3316375916247</v>
      </c>
      <c r="J24" s="19">
        <v>0</v>
      </c>
      <c r="K24" s="19"/>
      <c r="L24" s="19"/>
      <c r="M24" s="19">
        <v>130.59</v>
      </c>
      <c r="N24" s="19">
        <v>0</v>
      </c>
      <c r="O24" s="19"/>
      <c r="P24" s="19"/>
      <c r="Q24" s="19">
        <f t="shared" si="5"/>
        <v>0</v>
      </c>
      <c r="R24" s="19"/>
      <c r="S24" s="19"/>
      <c r="T24" s="19"/>
      <c r="U24" s="19"/>
      <c r="V24" s="19"/>
      <c r="W24" s="19">
        <f t="shared" si="6"/>
        <v>0</v>
      </c>
      <c r="X24" s="20">
        <f t="shared" si="7"/>
        <v>5216.9216375916249</v>
      </c>
    </row>
    <row r="25" spans="1:25" ht="14.35" x14ac:dyDescent="0.5">
      <c r="A25" s="21" t="s">
        <v>19</v>
      </c>
      <c r="B25" s="3"/>
      <c r="C25" s="19">
        <f t="shared" si="8"/>
        <v>0</v>
      </c>
      <c r="D25" s="19">
        <f t="shared" si="8"/>
        <v>0</v>
      </c>
      <c r="E25" s="19">
        <v>0</v>
      </c>
      <c r="F25" s="19">
        <v>0</v>
      </c>
      <c r="G25" s="19">
        <v>0</v>
      </c>
      <c r="H25" s="19">
        <v>0</v>
      </c>
      <c r="I25" s="19">
        <f t="shared" si="4"/>
        <v>0</v>
      </c>
      <c r="J25" s="19">
        <v>0</v>
      </c>
      <c r="K25" s="19"/>
      <c r="L25" s="19"/>
      <c r="M25" s="19">
        <v>1295.6220000000017</v>
      </c>
      <c r="N25" s="19">
        <v>0</v>
      </c>
      <c r="O25" s="19"/>
      <c r="P25" s="19"/>
      <c r="Q25" s="19">
        <f t="shared" si="5"/>
        <v>0</v>
      </c>
      <c r="R25" s="19"/>
      <c r="S25" s="19"/>
      <c r="T25" s="19"/>
      <c r="U25" s="19"/>
      <c r="V25" s="19"/>
      <c r="W25" s="19">
        <f t="shared" si="6"/>
        <v>0</v>
      </c>
      <c r="X25" s="20">
        <f t="shared" si="7"/>
        <v>1295.6220000000017</v>
      </c>
    </row>
    <row r="26" spans="1:25" ht="14.35" x14ac:dyDescent="0.5">
      <c r="A26" s="24" t="s">
        <v>57</v>
      </c>
      <c r="B26" s="24"/>
      <c r="C26" s="20">
        <f>SUM(C20:C25)</f>
        <v>9563.697632581685</v>
      </c>
      <c r="D26" s="20">
        <f t="shared" ref="D26:X26" si="9">SUM(D20:D25)</f>
        <v>32480.053020040694</v>
      </c>
      <c r="E26" s="20">
        <f t="shared" si="9"/>
        <v>660.79256553503978</v>
      </c>
      <c r="F26" s="20">
        <f t="shared" si="9"/>
        <v>4394</v>
      </c>
      <c r="G26" s="20">
        <f t="shared" si="9"/>
        <v>11580.16545</v>
      </c>
      <c r="H26" s="20">
        <f t="shared" si="9"/>
        <v>607.64702486487943</v>
      </c>
      <c r="I26" s="20">
        <f t="shared" si="9"/>
        <v>59286.355693022306</v>
      </c>
      <c r="J26" s="20">
        <f t="shared" si="9"/>
        <v>20204.66011442124</v>
      </c>
      <c r="K26" s="20">
        <f>SUM(K20:K25)</f>
        <v>0</v>
      </c>
      <c r="L26" s="20">
        <f t="shared" si="9"/>
        <v>0</v>
      </c>
      <c r="M26" s="20">
        <f>SUM(M20:M25)</f>
        <v>13465.944000000001</v>
      </c>
      <c r="N26" s="20">
        <f t="shared" si="9"/>
        <v>339549.23515415518</v>
      </c>
      <c r="O26" s="20">
        <f t="shared" si="9"/>
        <v>16781.744146078549</v>
      </c>
      <c r="P26" s="20">
        <f t="shared" si="9"/>
        <v>12984.590658778028</v>
      </c>
      <c r="Q26" s="20">
        <f t="shared" si="9"/>
        <v>369315.56995901174</v>
      </c>
      <c r="R26" s="20">
        <f t="shared" si="9"/>
        <v>14138</v>
      </c>
      <c r="S26" s="20">
        <f t="shared" si="9"/>
        <v>369.33805981563796</v>
      </c>
      <c r="T26" s="20">
        <f t="shared" si="9"/>
        <v>80.53150967845562</v>
      </c>
      <c r="U26" s="20">
        <f t="shared" si="9"/>
        <v>0</v>
      </c>
      <c r="V26" s="20">
        <f t="shared" si="9"/>
        <v>0</v>
      </c>
      <c r="W26" s="20">
        <f t="shared" si="9"/>
        <v>14587.869569494094</v>
      </c>
      <c r="X26" s="20">
        <f t="shared" si="9"/>
        <v>476860.39933594945</v>
      </c>
      <c r="Y26" s="32"/>
    </row>
    <row r="27" spans="1:25" x14ac:dyDescent="0.4">
      <c r="C27" s="33"/>
      <c r="D27" s="33"/>
      <c r="E27" s="33"/>
      <c r="F27" s="33"/>
      <c r="G27" s="33"/>
      <c r="H27" s="33"/>
      <c r="I27" s="33"/>
      <c r="J27" s="33"/>
      <c r="K27" s="34"/>
      <c r="L27" s="34"/>
      <c r="M27" s="34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5" ht="14.35" x14ac:dyDescent="0.5">
      <c r="A28" s="2" t="s">
        <v>44</v>
      </c>
      <c r="C28" s="33">
        <f t="shared" ref="C28:J28" si="10">C17-C26</f>
        <v>0.15457611911551794</v>
      </c>
      <c r="D28" s="33">
        <f t="shared" si="10"/>
        <v>-0.29777667269809172</v>
      </c>
      <c r="E28" s="33">
        <f t="shared" si="10"/>
        <v>0</v>
      </c>
      <c r="F28" s="33">
        <f t="shared" si="10"/>
        <v>-0.32858752159972937</v>
      </c>
      <c r="G28" s="33">
        <f t="shared" si="10"/>
        <v>0</v>
      </c>
      <c r="H28" s="33">
        <f t="shared" si="10"/>
        <v>0.35297513512057321</v>
      </c>
      <c r="I28" s="33">
        <f t="shared" si="10"/>
        <v>-0.1188129400688922</v>
      </c>
      <c r="J28" s="33">
        <f t="shared" si="10"/>
        <v>0.33988557876000414</v>
      </c>
      <c r="K28" s="33"/>
      <c r="L28" s="33"/>
      <c r="M28" s="33">
        <f t="shared" ref="M28:X28" si="11">M17-M26</f>
        <v>-0.25225599999794213</v>
      </c>
      <c r="N28" s="33">
        <f t="shared" si="11"/>
        <v>0</v>
      </c>
      <c r="O28" s="33">
        <f t="shared" si="11"/>
        <v>0</v>
      </c>
      <c r="P28" s="33">
        <f t="shared" si="11"/>
        <v>0</v>
      </c>
      <c r="Q28" s="33">
        <f t="shared" si="11"/>
        <v>0</v>
      </c>
      <c r="R28" s="33">
        <f t="shared" si="11"/>
        <v>0</v>
      </c>
      <c r="S28" s="33">
        <f t="shared" si="11"/>
        <v>-0.33805981563796195</v>
      </c>
      <c r="T28" s="33">
        <f t="shared" si="11"/>
        <v>0.46849032154437964</v>
      </c>
      <c r="U28" s="33">
        <f t="shared" si="11"/>
        <v>0</v>
      </c>
      <c r="V28" s="33">
        <f t="shared" si="11"/>
        <v>0</v>
      </c>
      <c r="W28" s="33">
        <f t="shared" si="11"/>
        <v>0.13043050590567873</v>
      </c>
      <c r="X28" s="33">
        <f t="shared" si="11"/>
        <v>9.9247144535183907E-2</v>
      </c>
      <c r="Y28" s="35"/>
    </row>
    <row r="29" spans="1:25" x14ac:dyDescent="0.4">
      <c r="A29" s="36"/>
      <c r="B29" s="37"/>
      <c r="C29" s="38">
        <f>C23+C22</f>
        <v>8226.9192560583488</v>
      </c>
      <c r="O29" s="39"/>
    </row>
    <row r="30" spans="1:25" ht="14.35" x14ac:dyDescent="0.5">
      <c r="A30" s="2" t="s">
        <v>44</v>
      </c>
      <c r="C30" s="22">
        <f t="shared" ref="C30:J30" si="12">C19-C28</f>
        <v>-0.15457611911551794</v>
      </c>
      <c r="D30" s="22">
        <v>0</v>
      </c>
      <c r="E30" s="22">
        <f t="shared" si="12"/>
        <v>0</v>
      </c>
      <c r="F30" s="22">
        <f t="shared" si="12"/>
        <v>0.32858752159972937</v>
      </c>
      <c r="G30" s="22">
        <f t="shared" si="12"/>
        <v>0</v>
      </c>
      <c r="H30" s="22">
        <f t="shared" si="12"/>
        <v>-0.35297513512057321</v>
      </c>
      <c r="I30" s="22">
        <f t="shared" si="12"/>
        <v>0.1188129400688922</v>
      </c>
      <c r="J30" s="22">
        <f t="shared" si="12"/>
        <v>-0.33988557876000414</v>
      </c>
      <c r="K30" s="22"/>
      <c r="L30" s="22"/>
      <c r="M30" s="22">
        <f>M19-M28</f>
        <v>0.25225599999794213</v>
      </c>
      <c r="N30" s="22">
        <f t="shared" ref="N30:X30" si="13">N19-N28</f>
        <v>0</v>
      </c>
      <c r="O30" s="39"/>
      <c r="P30" s="22">
        <f t="shared" si="13"/>
        <v>0</v>
      </c>
      <c r="Q30" s="22">
        <f t="shared" si="13"/>
        <v>0</v>
      </c>
      <c r="R30" s="22">
        <f t="shared" si="13"/>
        <v>0</v>
      </c>
      <c r="S30" s="22">
        <f t="shared" si="13"/>
        <v>0.33805981563796195</v>
      </c>
      <c r="T30" s="22">
        <f t="shared" si="13"/>
        <v>-0.46849032154437964</v>
      </c>
      <c r="U30" s="22">
        <f t="shared" si="13"/>
        <v>0</v>
      </c>
      <c r="V30" s="22">
        <f t="shared" si="13"/>
        <v>0</v>
      </c>
      <c r="W30" s="22">
        <f t="shared" si="13"/>
        <v>-0.13043050590567873</v>
      </c>
      <c r="X30" s="22">
        <f t="shared" si="13"/>
        <v>-9.9247144535183907E-2</v>
      </c>
      <c r="Y30" s="35"/>
    </row>
    <row r="31" spans="1:25" x14ac:dyDescent="0.4">
      <c r="D31" s="38"/>
    </row>
    <row r="32" spans="1:25" ht="14.35" x14ac:dyDescent="0.5">
      <c r="A32" s="40" t="s">
        <v>67</v>
      </c>
      <c r="T32" s="38"/>
    </row>
    <row r="33" spans="1:26" ht="14.35" x14ac:dyDescent="0.5">
      <c r="A33" s="41" t="s">
        <v>68</v>
      </c>
      <c r="B33" s="41" t="s">
        <v>0</v>
      </c>
      <c r="C33" s="41" t="s">
        <v>1</v>
      </c>
      <c r="H33" s="42"/>
      <c r="I33" s="39"/>
      <c r="Y33" s="43"/>
    </row>
    <row r="34" spans="1:26" ht="14.35" x14ac:dyDescent="0.5">
      <c r="B34" s="38">
        <f>C22</f>
        <v>270.04895438467446</v>
      </c>
      <c r="C34" s="38">
        <f>D22</f>
        <v>459.95644952897476</v>
      </c>
      <c r="E34" s="38"/>
      <c r="H34" s="42"/>
      <c r="I34" s="39"/>
      <c r="X34" s="38"/>
    </row>
    <row r="35" spans="1:26" ht="14.35" x14ac:dyDescent="0.5">
      <c r="A35" s="41" t="s">
        <v>69</v>
      </c>
      <c r="B35" s="44">
        <v>0.35</v>
      </c>
      <c r="C35" s="45">
        <v>0.35</v>
      </c>
      <c r="E35" s="38">
        <f t="shared" ref="E35:E39" si="14">C21+D21</f>
        <v>0</v>
      </c>
      <c r="H35" s="42"/>
      <c r="I35" s="39"/>
      <c r="Y35" s="38"/>
    </row>
    <row r="36" spans="1:26" ht="17" thickBot="1" x14ac:dyDescent="0.6">
      <c r="A36" s="41" t="s">
        <v>70</v>
      </c>
      <c r="B36" s="2">
        <f>B34*B35</f>
        <v>94.517134034636058</v>
      </c>
      <c r="C36" s="2">
        <f>C34*C35</f>
        <v>160.98475733514115</v>
      </c>
      <c r="E36" s="38">
        <f t="shared" si="14"/>
        <v>730.00540391364916</v>
      </c>
      <c r="H36" s="42"/>
      <c r="I36" s="39"/>
      <c r="J36" s="46" t="s">
        <v>71</v>
      </c>
      <c r="M36" s="2">
        <v>-1407</v>
      </c>
      <c r="N36" s="23">
        <v>-2448</v>
      </c>
      <c r="Q36" s="38"/>
      <c r="X36" s="47"/>
    </row>
    <row r="37" spans="1:26" ht="14.7" thickTop="1" x14ac:dyDescent="0.5">
      <c r="A37" s="41" t="s">
        <v>72</v>
      </c>
      <c r="B37" s="2">
        <f>B36*277.777</f>
        <v>26254.685940739098</v>
      </c>
      <c r="C37" s="2">
        <f>C36*277.777</f>
        <v>44717.862938283499</v>
      </c>
      <c r="E37" s="38">
        <f t="shared" si="14"/>
        <v>27516.888650209981</v>
      </c>
      <c r="F37" s="48"/>
      <c r="H37" s="42"/>
      <c r="I37" s="39"/>
      <c r="M37" s="2" t="s">
        <v>0</v>
      </c>
      <c r="N37" s="2" t="s">
        <v>1</v>
      </c>
      <c r="O37" s="39" t="s">
        <v>73</v>
      </c>
      <c r="P37" s="2" t="s">
        <v>74</v>
      </c>
      <c r="Q37" s="2" t="s">
        <v>75</v>
      </c>
      <c r="R37" s="2" t="s">
        <v>76</v>
      </c>
      <c r="S37" s="2" t="s">
        <v>77</v>
      </c>
      <c r="T37" s="2" t="s">
        <v>78</v>
      </c>
      <c r="X37" s="38"/>
    </row>
    <row r="38" spans="1:26" ht="14.35" x14ac:dyDescent="0.5">
      <c r="A38" s="41" t="s">
        <v>79</v>
      </c>
      <c r="B38" s="2">
        <f>B37/8760</f>
        <v>2.9971102672076597</v>
      </c>
      <c r="C38" s="2">
        <f>C37/8760</f>
        <v>5.1047788742332765</v>
      </c>
      <c r="E38" s="38">
        <f t="shared" si="14"/>
        <v>5086.3316375916247</v>
      </c>
      <c r="F38" s="48"/>
      <c r="H38" s="42"/>
      <c r="I38" s="39"/>
      <c r="K38" s="2" t="s">
        <v>80</v>
      </c>
      <c r="L38" s="2" t="s">
        <v>81</v>
      </c>
      <c r="M38" s="2">
        <f>-M36*0.35</f>
        <v>492.45</v>
      </c>
      <c r="N38" s="2">
        <f>-N36*0.35</f>
        <v>856.8</v>
      </c>
      <c r="O38" s="39"/>
      <c r="P38" s="39"/>
    </row>
    <row r="39" spans="1:26" ht="14.35" x14ac:dyDescent="0.5">
      <c r="A39" s="41" t="s">
        <v>82</v>
      </c>
      <c r="B39" s="44">
        <v>0.12</v>
      </c>
      <c r="C39" s="44">
        <v>0.12</v>
      </c>
      <c r="E39" s="38">
        <f t="shared" si="14"/>
        <v>0</v>
      </c>
      <c r="F39" s="48"/>
      <c r="J39" s="21" t="s">
        <v>52</v>
      </c>
      <c r="K39" s="19">
        <v>5383.9645037389846</v>
      </c>
      <c r="L39" s="38">
        <f t="shared" ref="L39:L44" si="15">K39-M20</f>
        <v>490.34050373898481</v>
      </c>
      <c r="M39" s="2">
        <f t="shared" ref="M39:M44" si="16">L39*$M$38/$L$45</f>
        <v>402.90770837345912</v>
      </c>
      <c r="N39" s="39">
        <f t="shared" ref="N39:N44" si="17">L39*$N$38/$L$45</f>
        <v>701.00786787365178</v>
      </c>
      <c r="O39" s="2">
        <f>M39/0.35</f>
        <v>1151.164881067026</v>
      </c>
      <c r="P39" s="39">
        <f>N39/0.35</f>
        <v>2002.8796224961482</v>
      </c>
      <c r="Q39" s="19">
        <v>109.15190985194383</v>
      </c>
      <c r="R39" s="19">
        <v>5447.3285474920049</v>
      </c>
      <c r="S39" s="39">
        <f>O39+Q39</f>
        <v>1260.3167909189699</v>
      </c>
      <c r="T39" s="39">
        <f>P39+R39</f>
        <v>7450.2081699881528</v>
      </c>
      <c r="W39" s="2" t="s">
        <v>83</v>
      </c>
      <c r="X39" s="2" t="s">
        <v>30</v>
      </c>
      <c r="Y39" s="49">
        <v>8998.0300000000007</v>
      </c>
    </row>
    <row r="40" spans="1:26" ht="14.35" x14ac:dyDescent="0.5">
      <c r="A40" s="41" t="s">
        <v>84</v>
      </c>
      <c r="B40" s="50">
        <f>B38/B39</f>
        <v>24.975918893397164</v>
      </c>
      <c r="C40" s="50">
        <f>C38/C39</f>
        <v>42.539823951943973</v>
      </c>
      <c r="E40" s="48"/>
      <c r="F40" s="48"/>
      <c r="G40" s="38"/>
      <c r="H40" s="38"/>
      <c r="J40" s="21" t="s">
        <v>53</v>
      </c>
      <c r="K40" s="19">
        <f>M21</f>
        <v>6034.9680000000008</v>
      </c>
      <c r="L40" s="38">
        <f t="shared" si="15"/>
        <v>0</v>
      </c>
      <c r="M40" s="2">
        <f t="shared" si="16"/>
        <v>0</v>
      </c>
      <c r="N40" s="39">
        <f t="shared" si="17"/>
        <v>0</v>
      </c>
      <c r="O40" s="2">
        <f t="shared" ref="O40:P44" si="18">M40/0.35</f>
        <v>0</v>
      </c>
      <c r="P40" s="39">
        <f t="shared" si="18"/>
        <v>0</v>
      </c>
      <c r="Q40" s="19">
        <v>0</v>
      </c>
      <c r="R40" s="19">
        <v>0</v>
      </c>
      <c r="S40" s="39">
        <f t="shared" ref="S40:T44" si="19">O40+Q40</f>
        <v>0</v>
      </c>
      <c r="T40" s="39">
        <f t="shared" si="19"/>
        <v>0</v>
      </c>
      <c r="W40" s="2" t="s">
        <v>85</v>
      </c>
      <c r="X40" s="2" t="s">
        <v>27</v>
      </c>
      <c r="Y40" s="49">
        <v>18742.650000000001</v>
      </c>
    </row>
    <row r="41" spans="1:26" s="53" customFormat="1" ht="14.35" x14ac:dyDescent="0.5">
      <c r="A41" s="51" t="s">
        <v>86</v>
      </c>
      <c r="B41" s="52">
        <f>SUM(B40+C40)</f>
        <v>67.515742845341137</v>
      </c>
      <c r="E41" s="54"/>
      <c r="F41" s="54"/>
      <c r="J41" s="55" t="s">
        <v>54</v>
      </c>
      <c r="K41" s="23">
        <v>1196.533373975273</v>
      </c>
      <c r="L41" s="56">
        <f t="shared" si="15"/>
        <v>108.97337397527281</v>
      </c>
      <c r="M41" s="53">
        <f t="shared" si="16"/>
        <v>89.542291626540845</v>
      </c>
      <c r="N41" s="57">
        <f t="shared" si="17"/>
        <v>155.79213212634824</v>
      </c>
      <c r="O41" s="53">
        <f t="shared" si="18"/>
        <v>255.83511893297387</v>
      </c>
      <c r="P41" s="57">
        <f t="shared" si="18"/>
        <v>445.12037750385213</v>
      </c>
      <c r="Q41" s="23">
        <v>14.213835451700568</v>
      </c>
      <c r="R41" s="58">
        <v>14.836072025122656</v>
      </c>
      <c r="S41" s="39">
        <f t="shared" si="19"/>
        <v>270.04895438467446</v>
      </c>
      <c r="T41" s="57">
        <f>P41+R41</f>
        <v>459.95644952897476</v>
      </c>
      <c r="W41" s="53" t="s">
        <v>87</v>
      </c>
      <c r="X41" s="53" t="s">
        <v>22</v>
      </c>
      <c r="Y41" s="59">
        <v>8710.52</v>
      </c>
    </row>
    <row r="42" spans="1:26" ht="14.35" x14ac:dyDescent="0.5">
      <c r="E42" s="48"/>
      <c r="F42" s="48"/>
      <c r="J42" s="21" t="s">
        <v>55</v>
      </c>
      <c r="K42" s="19">
        <v>23.58</v>
      </c>
      <c r="L42" s="38">
        <f t="shared" si="15"/>
        <v>0</v>
      </c>
      <c r="M42" s="2">
        <f t="shared" si="16"/>
        <v>0</v>
      </c>
      <c r="N42" s="39">
        <f t="shared" si="17"/>
        <v>0</v>
      </c>
      <c r="O42" s="2">
        <f t="shared" si="18"/>
        <v>0</v>
      </c>
      <c r="P42" s="39">
        <f t="shared" si="18"/>
        <v>0</v>
      </c>
      <c r="Q42" s="19">
        <v>7956.8703016736736</v>
      </c>
      <c r="R42" s="19">
        <v>19560.018348536309</v>
      </c>
      <c r="S42" s="39">
        <f t="shared" si="19"/>
        <v>7956.8703016736736</v>
      </c>
      <c r="T42" s="39">
        <f t="shared" si="19"/>
        <v>19560.018348536309</v>
      </c>
      <c r="W42" s="2" t="s">
        <v>88</v>
      </c>
      <c r="X42" s="2" t="s">
        <v>89</v>
      </c>
      <c r="Y42" s="49">
        <v>3521.44</v>
      </c>
      <c r="Z42" s="49"/>
    </row>
    <row r="43" spans="1:26" ht="14.35" x14ac:dyDescent="0.5">
      <c r="A43" s="40" t="s">
        <v>90</v>
      </c>
      <c r="E43" s="48"/>
      <c r="F43" s="48"/>
      <c r="J43" s="21" t="s">
        <v>56</v>
      </c>
      <c r="K43" s="19">
        <f>M24</f>
        <v>130.59</v>
      </c>
      <c r="L43" s="38">
        <f t="shared" si="15"/>
        <v>0</v>
      </c>
      <c r="M43" s="2">
        <f t="shared" si="16"/>
        <v>0</v>
      </c>
      <c r="N43" s="39">
        <f t="shared" si="17"/>
        <v>0</v>
      </c>
      <c r="O43" s="2">
        <f t="shared" si="18"/>
        <v>0</v>
      </c>
      <c r="P43" s="39">
        <f t="shared" si="18"/>
        <v>0</v>
      </c>
      <c r="Q43" s="19">
        <v>76.461585604368096</v>
      </c>
      <c r="R43" s="19">
        <v>5009.8700519872564</v>
      </c>
      <c r="S43" s="39">
        <f t="shared" si="19"/>
        <v>76.461585604368096</v>
      </c>
      <c r="T43" s="39">
        <f t="shared" si="19"/>
        <v>5009.8700519872564</v>
      </c>
      <c r="W43" s="2" t="s">
        <v>91</v>
      </c>
      <c r="X43" s="2" t="s">
        <v>23</v>
      </c>
      <c r="Y43" s="2">
        <v>27.28</v>
      </c>
    </row>
    <row r="44" spans="1:26" ht="14.35" x14ac:dyDescent="0.5">
      <c r="A44" s="41" t="s">
        <v>68</v>
      </c>
      <c r="B44" s="41" t="s">
        <v>0</v>
      </c>
      <c r="C44" s="41" t="s">
        <v>1</v>
      </c>
      <c r="D44" s="60"/>
      <c r="E44" s="60"/>
      <c r="F44" s="60"/>
      <c r="G44" s="61"/>
      <c r="J44" s="21" t="s">
        <v>19</v>
      </c>
      <c r="K44" s="19">
        <f>M25</f>
        <v>1295.6220000000017</v>
      </c>
      <c r="L44" s="38">
        <f t="shared" si="15"/>
        <v>0</v>
      </c>
      <c r="M44" s="2">
        <f t="shared" si="16"/>
        <v>0</v>
      </c>
      <c r="N44" s="39">
        <f t="shared" si="17"/>
        <v>0</v>
      </c>
      <c r="O44" s="2">
        <f t="shared" si="18"/>
        <v>0</v>
      </c>
      <c r="P44" s="39">
        <f t="shared" si="18"/>
        <v>0</v>
      </c>
      <c r="Q44" s="19">
        <v>0</v>
      </c>
      <c r="R44" s="19">
        <v>0</v>
      </c>
      <c r="S44" s="39">
        <f t="shared" si="19"/>
        <v>0</v>
      </c>
      <c r="T44" s="39">
        <f t="shared" si="19"/>
        <v>0</v>
      </c>
      <c r="W44" s="2" t="s">
        <v>92</v>
      </c>
      <c r="X44" s="2" t="s">
        <v>93</v>
      </c>
      <c r="Y44" s="49">
        <v>1372.17</v>
      </c>
    </row>
    <row r="45" spans="1:26" x14ac:dyDescent="0.4">
      <c r="B45" s="38">
        <f>C20*94%</f>
        <v>1184.6977834638317</v>
      </c>
      <c r="C45" s="38">
        <f>D20*94%</f>
        <v>7003.1956797888633</v>
      </c>
      <c r="D45" s="60"/>
      <c r="E45" s="60"/>
      <c r="F45" s="60"/>
      <c r="G45" s="61"/>
      <c r="L45" s="38">
        <f>SUM(L39:L44)</f>
        <v>599.31387771425761</v>
      </c>
      <c r="M45" s="38">
        <f>SUM(M39:M44)</f>
        <v>492.44999999999993</v>
      </c>
      <c r="N45" s="38">
        <f>SUM(N39:N44)</f>
        <v>856.8</v>
      </c>
      <c r="O45" s="38">
        <f>SUM(O39:O44)</f>
        <v>1407</v>
      </c>
      <c r="P45" s="38">
        <f>SUM(P39:P44)</f>
        <v>2448.0000000000005</v>
      </c>
      <c r="W45" s="2" t="s">
        <v>94</v>
      </c>
      <c r="X45" s="2" t="s">
        <v>26</v>
      </c>
      <c r="Y45" s="62">
        <v>339.15</v>
      </c>
    </row>
    <row r="46" spans="1:26" ht="14.35" x14ac:dyDescent="0.5">
      <c r="A46" s="41" t="s">
        <v>69</v>
      </c>
      <c r="B46" s="44">
        <v>0.35</v>
      </c>
      <c r="C46" s="45">
        <v>0.35</v>
      </c>
      <c r="D46" s="60"/>
      <c r="E46" s="60"/>
      <c r="F46" s="60"/>
      <c r="G46" s="61"/>
      <c r="Y46" s="49">
        <f>SUM(Y39:Y45)</f>
        <v>41711.24</v>
      </c>
    </row>
    <row r="47" spans="1:26" x14ac:dyDescent="0.4">
      <c r="A47" s="41" t="s">
        <v>70</v>
      </c>
      <c r="B47" s="2">
        <f>B45*B46</f>
        <v>414.64422421234104</v>
      </c>
      <c r="C47" s="2">
        <f>C45*C46</f>
        <v>2451.1184879261018</v>
      </c>
      <c r="D47" s="60"/>
      <c r="E47" s="60">
        <f>SUM(C47,B47)</f>
        <v>2865.762712138443</v>
      </c>
      <c r="F47" s="60"/>
      <c r="G47" s="61"/>
    </row>
    <row r="48" spans="1:26" x14ac:dyDescent="0.4">
      <c r="A48" s="41" t="s">
        <v>72</v>
      </c>
      <c r="B48" s="2">
        <f>B47*277.777</f>
        <v>115178.62866903146</v>
      </c>
      <c r="C48" s="2">
        <f>C47*277.777</f>
        <v>680864.3402206488</v>
      </c>
      <c r="D48" s="60"/>
      <c r="E48" s="60"/>
      <c r="F48" s="60"/>
      <c r="G48" s="61"/>
    </row>
    <row r="49" spans="1:7" x14ac:dyDescent="0.4">
      <c r="A49" s="41" t="s">
        <v>79</v>
      </c>
      <c r="B49" s="2">
        <f>B48/8760</f>
        <v>13.148245281852907</v>
      </c>
      <c r="C49" s="2">
        <f>C48/8760</f>
        <v>77.72423975121562</v>
      </c>
      <c r="D49" s="60"/>
      <c r="E49" s="60"/>
      <c r="F49" s="60"/>
      <c r="G49" s="61"/>
    </row>
    <row r="50" spans="1:7" x14ac:dyDescent="0.4">
      <c r="A50" s="41" t="s">
        <v>82</v>
      </c>
      <c r="B50" s="44">
        <v>0.12</v>
      </c>
      <c r="C50" s="44">
        <v>0.12</v>
      </c>
      <c r="D50" s="63"/>
      <c r="E50" s="63"/>
      <c r="F50" s="63"/>
      <c r="G50" s="63"/>
    </row>
    <row r="51" spans="1:7" x14ac:dyDescent="0.4">
      <c r="A51" s="41" t="s">
        <v>84</v>
      </c>
      <c r="B51" s="50">
        <f>B49/B50</f>
        <v>109.56871068210756</v>
      </c>
      <c r="C51" s="50">
        <f>C49/C50</f>
        <v>647.70199792679682</v>
      </c>
    </row>
    <row r="52" spans="1:7" x14ac:dyDescent="0.4">
      <c r="A52" s="51" t="s">
        <v>86</v>
      </c>
      <c r="B52" s="52">
        <f>SUM(B51+C51)</f>
        <v>757.27070860890444</v>
      </c>
      <c r="C52" s="53"/>
    </row>
    <row r="54" spans="1:7" x14ac:dyDescent="0.4">
      <c r="A54" s="41" t="s">
        <v>95</v>
      </c>
      <c r="B54" s="50">
        <f>B52+B41</f>
        <v>824.78645145424559</v>
      </c>
    </row>
    <row r="61" spans="1:7" x14ac:dyDescent="0.4">
      <c r="C61" s="2">
        <f>C49+B49+C38+B38</f>
        <v>98.974374174509464</v>
      </c>
    </row>
  </sheetData>
  <mergeCells count="5">
    <mergeCell ref="A1:W1"/>
    <mergeCell ref="C2:I2"/>
    <mergeCell ref="K2:M2"/>
    <mergeCell ref="N2:Q2"/>
    <mergeCell ref="R2:W2"/>
  </mergeCells>
  <pageMargins left="0.75" right="0.75" top="1" bottom="1" header="0.5" footer="0.5"/>
  <pageSetup paperSize="9" scale="93" fitToWidth="2" orientation="landscape" r:id="rId1"/>
  <headerFooter alignWithMargins="0">
    <oddHeader>&amp;CBase Year Energy Balance Nepal 2004/05&amp;R&amp;D</oddHeader>
    <oddFooter>&amp;R&amp;P</oddFooter>
  </headerFooter>
  <colBreaks count="1" manualBreakCount="1">
    <brk id="13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Energy Balance_2015 </vt:lpstr>
      <vt:lpstr>'Energy Balance_2015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Amrit Nakarmi</dc:creator>
  <cp:lastModifiedBy>Amrit Nakarmi</cp:lastModifiedBy>
  <dcterms:created xsi:type="dcterms:W3CDTF">2016-07-31T17:10:44Z</dcterms:created>
  <dcterms:modified xsi:type="dcterms:W3CDTF">2016-07-31T17:14:52Z</dcterms:modified>
</cp:coreProperties>
</file>