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rit Nakarmi\Downloads\SEPPA2016\Sustainable energy Planning and policy analysis\Lecture notes_SEPPA2016\"/>
    </mc:Choice>
  </mc:AlternateContent>
  <bookViews>
    <workbookView xWindow="0" yWindow="0" windowWidth="18240" windowHeight="9487"/>
  </bookViews>
  <sheets>
    <sheet name="Convs" sheetId="1" r:id="rId1"/>
  </sheets>
  <externalReferences>
    <externalReference r:id="rId2"/>
  </externalReferences>
  <definedNames>
    <definedName name="CFG_CFG">#REF!</definedName>
    <definedName name="MJ_CFG">#REF!</definedName>
    <definedName name="_xlnm.Print_Area" localSheetId="0">Convs!$A$1:$K$13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1" i="1"/>
  <c r="C40" i="1"/>
  <c r="C39" i="1"/>
  <c r="C38" i="1"/>
  <c r="C37" i="1"/>
  <c r="C36" i="1"/>
  <c r="C35" i="1"/>
  <c r="M30" i="1"/>
  <c r="L30" i="1"/>
  <c r="K30" i="1"/>
  <c r="J30" i="1"/>
  <c r="H30" i="1"/>
  <c r="L29" i="1"/>
  <c r="M29" i="1" s="1"/>
  <c r="K29" i="1"/>
  <c r="J29" i="1"/>
  <c r="H29" i="1"/>
  <c r="L28" i="1"/>
  <c r="M28" i="1" s="1"/>
  <c r="J28" i="1"/>
  <c r="H28" i="1"/>
  <c r="K28" i="1" s="1"/>
  <c r="G28" i="1"/>
  <c r="F28" i="1"/>
  <c r="E28" i="1"/>
  <c r="D28" i="1"/>
  <c r="M27" i="1"/>
  <c r="L27" i="1"/>
  <c r="K27" i="1"/>
  <c r="J27" i="1"/>
  <c r="H27" i="1"/>
  <c r="M26" i="1"/>
  <c r="L26" i="1"/>
  <c r="K26" i="1"/>
  <c r="J26" i="1"/>
  <c r="H26" i="1"/>
  <c r="L25" i="1"/>
  <c r="M25" i="1" s="1"/>
  <c r="K25" i="1"/>
  <c r="J25" i="1"/>
  <c r="H25" i="1"/>
  <c r="P20" i="1"/>
  <c r="Q20" i="1" s="1"/>
  <c r="R12" i="1" s="1"/>
  <c r="R11" i="1" s="1"/>
  <c r="L20" i="1"/>
  <c r="G20" i="1"/>
  <c r="K20" i="1" s="1"/>
  <c r="M20" i="1" s="1"/>
  <c r="F20" i="1"/>
  <c r="O20" i="1" s="1"/>
  <c r="C20" i="1"/>
  <c r="R19" i="1"/>
  <c r="J19" i="1"/>
  <c r="I19" i="1"/>
  <c r="R18" i="1"/>
  <c r="Q18" i="1"/>
  <c r="N18" i="1"/>
  <c r="H18" i="1"/>
  <c r="G18" i="1"/>
  <c r="D18" i="1"/>
  <c r="F17" i="1"/>
  <c r="E17" i="1"/>
  <c r="B17" i="1"/>
  <c r="R16" i="1"/>
  <c r="K16" i="1"/>
  <c r="M16" i="1" s="1"/>
  <c r="H16" i="1"/>
  <c r="G16" i="1"/>
  <c r="D16" i="1"/>
  <c r="C16" i="1"/>
  <c r="R15" i="1"/>
  <c r="N15" i="1"/>
  <c r="K15" i="1"/>
  <c r="H15" i="1"/>
  <c r="G15" i="1"/>
  <c r="D15" i="1"/>
  <c r="C15" i="1"/>
  <c r="R14" i="1"/>
  <c r="G14" i="1"/>
  <c r="N14" i="1" s="1"/>
  <c r="F14" i="1"/>
  <c r="O14" i="1" s="1"/>
  <c r="C14" i="1"/>
  <c r="R13" i="1"/>
  <c r="N13" i="1"/>
  <c r="M13" i="1"/>
  <c r="H13" i="1"/>
  <c r="G13" i="1"/>
  <c r="D13" i="1"/>
  <c r="C13" i="1"/>
  <c r="Q12" i="1"/>
  <c r="P12" i="1"/>
  <c r="I12" i="1"/>
  <c r="Q11" i="1"/>
  <c r="P11" i="1"/>
  <c r="J11" i="1"/>
  <c r="N10" i="1"/>
  <c r="K10" i="1"/>
  <c r="M10" i="1" s="1"/>
  <c r="G10" i="1"/>
  <c r="R9" i="1"/>
  <c r="N9" i="1"/>
  <c r="D9" i="1"/>
  <c r="R8" i="1"/>
  <c r="O8" i="1"/>
  <c r="L8" i="1"/>
  <c r="C8" i="1"/>
  <c r="B8" i="1"/>
  <c r="B7" i="1"/>
  <c r="N6" i="1"/>
  <c r="M6" i="1"/>
  <c r="K6" i="1"/>
  <c r="R5" i="1"/>
  <c r="P5" i="1"/>
  <c r="O5" i="1"/>
  <c r="N5" i="1"/>
  <c r="M5" i="1"/>
  <c r="L5" i="1"/>
  <c r="K5" i="1"/>
  <c r="H5" i="1"/>
  <c r="H20" i="1" s="1"/>
  <c r="G5" i="1"/>
  <c r="F5" i="1"/>
  <c r="O4" i="1"/>
  <c r="E4" i="1"/>
  <c r="C4" i="1"/>
  <c r="C7" i="1" s="1"/>
  <c r="L7" i="1" l="1"/>
  <c r="G7" i="1"/>
  <c r="R7" i="1"/>
  <c r="E5" i="1"/>
  <c r="C10" i="1"/>
  <c r="K14" i="1"/>
  <c r="M14" i="1" s="1"/>
  <c r="C17" i="1"/>
  <c r="R17" i="1" s="1"/>
  <c r="R4" i="1"/>
  <c r="F12" i="1" s="1"/>
  <c r="H14" i="1"/>
  <c r="N20" i="1"/>
  <c r="B5" i="1"/>
  <c r="E2" i="1" l="1"/>
  <c r="B20" i="1"/>
  <c r="B18" i="1"/>
  <c r="B14" i="1"/>
  <c r="R10" i="1"/>
  <c r="L10" i="1"/>
  <c r="H7" i="1"/>
  <c r="E10" i="1" s="1"/>
  <c r="B6" i="1"/>
  <c r="D4" i="1" s="1"/>
  <c r="D17" i="1" s="1"/>
  <c r="E9" i="1"/>
  <c r="B9" i="1"/>
  <c r="G8" i="1"/>
  <c r="K7" i="1"/>
  <c r="M7" i="1" s="1"/>
  <c r="K9" i="1"/>
  <c r="L9" i="1"/>
  <c r="N7" i="1"/>
  <c r="F19" i="1"/>
  <c r="O19" i="1" s="1"/>
  <c r="F11" i="1"/>
  <c r="O12" i="1"/>
  <c r="O11" i="1" s="1"/>
  <c r="E14" i="1"/>
  <c r="E20" i="1"/>
  <c r="L16" i="1" l="1"/>
  <c r="L15" i="1"/>
  <c r="L18" i="1"/>
  <c r="L13" i="1"/>
  <c r="B16" i="1"/>
  <c r="B15" i="1"/>
  <c r="B13" i="1"/>
  <c r="H6" i="1"/>
  <c r="D10" i="1" s="1"/>
  <c r="K18" i="1"/>
  <c r="M9" i="1"/>
  <c r="M18" i="1" s="1"/>
  <c r="E6" i="1"/>
  <c r="D7" i="1" s="1"/>
  <c r="C6" i="1"/>
  <c r="E16" i="1"/>
  <c r="E15" i="1"/>
  <c r="E13" i="1"/>
  <c r="H8" i="1"/>
  <c r="F10" i="1" s="1"/>
  <c r="K8" i="1"/>
  <c r="M8" i="1" s="1"/>
  <c r="F9" i="1"/>
  <c r="F6" i="1" s="1"/>
  <c r="N8" i="1"/>
  <c r="F7" i="1"/>
  <c r="K4" i="1" l="1"/>
  <c r="M4" i="1" s="1"/>
  <c r="M17" i="1" s="1"/>
  <c r="G4" i="1"/>
  <c r="H4" i="1"/>
  <c r="O6" i="1"/>
  <c r="D8" i="1"/>
  <c r="O7" i="1"/>
  <c r="E8" i="1"/>
  <c r="O10" i="1"/>
  <c r="H12" i="1"/>
  <c r="L6" i="1"/>
  <c r="L4" i="1" s="1"/>
  <c r="L17" i="1" s="1"/>
  <c r="D5" i="1"/>
  <c r="R6" i="1"/>
  <c r="F18" i="1"/>
  <c r="O18" i="1" s="1"/>
  <c r="F16" i="1"/>
  <c r="O16" i="1" s="1"/>
  <c r="F13" i="1"/>
  <c r="O13" i="1" s="1"/>
  <c r="F15" i="1"/>
  <c r="O15" i="1" s="1"/>
  <c r="O9" i="1"/>
  <c r="H11" i="1" l="1"/>
  <c r="H19" i="1"/>
  <c r="G12" i="1"/>
  <c r="C12" i="1"/>
  <c r="H17" i="1"/>
  <c r="B10" i="1"/>
  <c r="N4" i="1"/>
  <c r="N17" i="1" s="1"/>
  <c r="G17" i="1"/>
  <c r="K17" i="1" s="1"/>
  <c r="D20" i="1"/>
  <c r="D14" i="1"/>
  <c r="C19" i="1" l="1"/>
  <c r="J5" i="1"/>
  <c r="L12" i="1"/>
  <c r="C11" i="1"/>
  <c r="N12" i="1"/>
  <c r="N11" i="1" s="1"/>
  <c r="K12" i="1"/>
  <c r="G11" i="1"/>
  <c r="G19" i="1"/>
  <c r="L19" i="1" l="1"/>
  <c r="L11" i="1"/>
  <c r="N19" i="1"/>
  <c r="K19" i="1"/>
  <c r="M19" i="1" s="1"/>
  <c r="M12" i="1"/>
  <c r="M11" i="1" s="1"/>
  <c r="K11" i="1"/>
  <c r="J20" i="1"/>
  <c r="I20" i="1" s="1"/>
  <c r="Q5" i="1"/>
  <c r="Q14" i="1" s="1"/>
  <c r="P14" i="1" s="1"/>
  <c r="I5" i="1"/>
  <c r="J14" i="1"/>
  <c r="I14" i="1" s="1"/>
  <c r="J7" i="1"/>
  <c r="E12" i="1" l="1"/>
  <c r="I7" i="1"/>
  <c r="Q7" i="1"/>
  <c r="P7" i="1" s="1"/>
  <c r="E18" i="1" s="1"/>
  <c r="J9" i="1"/>
  <c r="J18" i="1" l="1"/>
  <c r="I18" i="1" s="1"/>
  <c r="J10" i="1"/>
  <c r="Q9" i="1"/>
  <c r="I9" i="1"/>
  <c r="J16" i="1"/>
  <c r="I16" i="1" s="1"/>
  <c r="J15" i="1"/>
  <c r="I15" i="1" s="1"/>
  <c r="J13" i="1"/>
  <c r="I13" i="1" s="1"/>
  <c r="J8" i="1"/>
  <c r="J6" i="1"/>
  <c r="E11" i="1"/>
  <c r="E19" i="1"/>
  <c r="I8" i="1" l="1"/>
  <c r="Q8" i="1"/>
  <c r="P8" i="1" s="1"/>
  <c r="Q16" i="1"/>
  <c r="P16" i="1" s="1"/>
  <c r="Q15" i="1"/>
  <c r="P15" i="1" s="1"/>
  <c r="Q13" i="1"/>
  <c r="P13" i="1" s="1"/>
  <c r="P9" i="1"/>
  <c r="Q10" i="1"/>
  <c r="P10" i="1" s="1"/>
  <c r="I10" i="1"/>
  <c r="Q6" i="1"/>
  <c r="P6" i="1" s="1"/>
  <c r="D12" i="1"/>
  <c r="I6" i="1"/>
  <c r="J4" i="1"/>
  <c r="Q4" i="1" l="1"/>
  <c r="I4" i="1"/>
  <c r="J17" i="1"/>
  <c r="I17" i="1" s="1"/>
  <c r="B12" i="1"/>
  <c r="D11" i="1"/>
  <c r="D19" i="1"/>
  <c r="B19" i="1" l="1"/>
  <c r="B11" i="1"/>
  <c r="P4" i="1"/>
  <c r="Q17" i="1"/>
  <c r="P17" i="1" s="1"/>
</calcChain>
</file>

<file path=xl/sharedStrings.xml><?xml version="1.0" encoding="utf-8"?>
<sst xmlns="http://schemas.openxmlformats.org/spreadsheetml/2006/main" count="91" uniqueCount="50">
  <si>
    <t>Conversion factors:</t>
  </si>
  <si>
    <t>name:                 = MJ_CFG</t>
  </si>
  <si>
    <t>to --&gt;</t>
  </si>
  <si>
    <t>example: 1MJ</t>
  </si>
  <si>
    <t>CFG</t>
  </si>
  <si>
    <t>from</t>
  </si>
  <si>
    <t>MJ</t>
  </si>
  <si>
    <t>TCE</t>
  </si>
  <si>
    <t>cub m</t>
  </si>
  <si>
    <t>btu</t>
  </si>
  <si>
    <t>toe</t>
  </si>
  <si>
    <t>boe</t>
  </si>
  <si>
    <t>kWh</t>
  </si>
  <si>
    <t>kwyr</t>
  </si>
  <si>
    <t>kcal</t>
  </si>
  <si>
    <t>TJ</t>
  </si>
  <si>
    <t>Gcal</t>
  </si>
  <si>
    <t>Mtoe</t>
  </si>
  <si>
    <t>Mbtu</t>
  </si>
  <si>
    <t>GWh</t>
  </si>
  <si>
    <t>GWyr</t>
  </si>
  <si>
    <t>PJ</t>
  </si>
  <si>
    <t>cubm</t>
  </si>
  <si>
    <t>Carbon emission factors in kgC/GJ</t>
  </si>
  <si>
    <t>Source: IPCC Priner (1995)</t>
  </si>
  <si>
    <t>Avg HHV</t>
  </si>
  <si>
    <t>Avg LHV</t>
  </si>
  <si>
    <t>HHV</t>
  </si>
  <si>
    <t>LHV</t>
  </si>
  <si>
    <t>t C/toe</t>
  </si>
  <si>
    <t>Wood</t>
  </si>
  <si>
    <t>Peat</t>
  </si>
  <si>
    <t>Coal (bituminous)</t>
  </si>
  <si>
    <t>Coal lignite</t>
  </si>
  <si>
    <t>Crude oil</t>
  </si>
  <si>
    <t>Natural gas</t>
  </si>
  <si>
    <t>Motor fuels</t>
  </si>
  <si>
    <t>Heat content</t>
  </si>
  <si>
    <t>Density</t>
  </si>
  <si>
    <t>diesel</t>
  </si>
  <si>
    <t>kcal/litre =</t>
  </si>
  <si>
    <t>kcal/kg x</t>
  </si>
  <si>
    <t>kg/litre</t>
  </si>
  <si>
    <t>gasoline</t>
  </si>
  <si>
    <t>jet fuel</t>
  </si>
  <si>
    <t>LPG</t>
  </si>
  <si>
    <t>CNG</t>
  </si>
  <si>
    <t>alcohol</t>
  </si>
  <si>
    <t>light fo</t>
  </si>
  <si>
    <t>heavy 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</si>
</sst>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name val="Arial"/>
    </font>
    <font>
      <b/>
      <u/>
      <sz val="8"/>
      <name val="Arial"/>
      <family val="2"/>
    </font>
    <font>
      <sz val="8"/>
      <name val="Arial"/>
      <family val="2"/>
    </font>
    <font>
      <u/>
      <sz val="9"/>
      <color indexed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11" fontId="2" fillId="0" borderId="0" xfId="0" applyNumberFormat="1" applyFont="1" applyAlignment="1" applyProtection="1">
      <alignment horizontal="left"/>
    </xf>
    <xf numFmtId="11" fontId="3" fillId="0" borderId="0" xfId="0" applyNumberFormat="1" applyFont="1" applyProtection="1"/>
    <xf numFmtId="0" fontId="3" fillId="0" borderId="0" xfId="0" applyFont="1" applyProtection="1"/>
    <xf numFmtId="0" fontId="1" fillId="0" borderId="0" xfId="0" applyFont="1" applyProtection="1"/>
    <xf numFmtId="0" fontId="0" fillId="0" borderId="0" xfId="0" applyProtection="1">
      <protection locked="0"/>
    </xf>
    <xf numFmtId="0" fontId="4" fillId="0" borderId="0" xfId="0" applyNumberFormat="1" applyFont="1" applyAlignment="1" applyProtection="1">
      <alignment horizontal="left"/>
    </xf>
    <xf numFmtId="11" fontId="5" fillId="0" borderId="0" xfId="0" applyNumberFormat="1" applyFont="1" applyProtection="1"/>
    <xf numFmtId="11" fontId="5" fillId="0" borderId="0" xfId="0" applyNumberFormat="1" applyFont="1" applyAlignment="1" applyProtection="1">
      <alignment horizontal="center"/>
    </xf>
    <xf numFmtId="11" fontId="5" fillId="0" borderId="0" xfId="0" applyNumberFormat="1" applyFont="1" applyAlignment="1" applyProtection="1">
      <alignment horizontal="right"/>
    </xf>
    <xf numFmtId="1" fontId="5" fillId="0" borderId="0" xfId="0" applyNumberFormat="1" applyFont="1" applyAlignment="1" applyProtection="1">
      <alignment horizontal="left"/>
    </xf>
    <xf numFmtId="0" fontId="5" fillId="0" borderId="0" xfId="0" applyNumberFormat="1" applyFont="1" applyAlignment="1" applyProtection="1">
      <alignment horizontal="left"/>
    </xf>
    <xf numFmtId="0" fontId="6" fillId="0" borderId="0" xfId="0" applyFont="1" applyProtection="1">
      <protection locked="0"/>
    </xf>
    <xf numFmtId="0" fontId="6" fillId="0" borderId="0" xfId="0" applyFont="1" applyProtection="1"/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164" fontId="6" fillId="0" borderId="0" xfId="0" applyNumberFormat="1" applyFont="1" applyProtection="1"/>
    <xf numFmtId="164" fontId="0" fillId="0" borderId="0" xfId="0" applyNumberFormat="1" applyProtection="1"/>
    <xf numFmtId="2" fontId="6" fillId="0" borderId="0" xfId="0" applyNumberFormat="1" applyFont="1" applyProtection="1"/>
    <xf numFmtId="9" fontId="6" fillId="0" borderId="0" xfId="1" applyFont="1" applyProtection="1"/>
    <xf numFmtId="0" fontId="7" fillId="0" borderId="0" xfId="0" applyFo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0</xdr:colOff>
          <xdr:row>0</xdr:row>
          <xdr:rowOff>84667</xdr:rowOff>
        </xdr:from>
        <xdr:to>
          <xdr:col>9</xdr:col>
          <xdr:colOff>80433</xdr:colOff>
          <xdr:row>1</xdr:row>
          <xdr:rowOff>105833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TOC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rit%20Nakarmi\Dropbox\Anzoo%20MARKAL%20Model_20Dec2015\20dec%202015_MARKAL_interim_plan_final\MAED_interim_plan_9Dec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D-WS"/>
      <sheetName val="Notes"/>
      <sheetName val="Descr"/>
      <sheetName val="TOC"/>
      <sheetName val="Defs"/>
      <sheetName val="Save"/>
      <sheetName val="ImpExp"/>
      <sheetName val="Demogr-D"/>
      <sheetName val="GDP-D"/>
      <sheetName val="EnInt-D"/>
      <sheetName val="UsEne-D"/>
      <sheetName val="ACMFac-D"/>
      <sheetName val="FIN_ACM"/>
      <sheetName val="ManFac1-D"/>
      <sheetName val="ManFac2-D"/>
      <sheetName val="FIN_Ind-D"/>
      <sheetName val="FrTrp-D"/>
      <sheetName val="PassIntra-D"/>
      <sheetName val="PassInter-D"/>
      <sheetName val="FIN_Trp-D"/>
      <sheetName val="US_HH_Ur-D"/>
      <sheetName val="US_HH_Rr-D"/>
      <sheetName val="FIN_HH-D"/>
      <sheetName val="US_SS-D"/>
      <sheetName val="SS_Fac-D"/>
      <sheetName val="FIN_SS-D"/>
      <sheetName val="Final-D"/>
      <sheetName val="Final results (User unit)"/>
      <sheetName val="Convs"/>
    </sheetNames>
    <definedNames>
      <definedName name="goto_TO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R42"/>
  <sheetViews>
    <sheetView tabSelected="1" workbookViewId="0">
      <selection activeCell="I15" sqref="I15"/>
    </sheetView>
  </sheetViews>
  <sheetFormatPr defaultColWidth="11.41015625" defaultRowHeight="12.7" x14ac:dyDescent="0.4"/>
  <cols>
    <col min="1" max="1" width="7" style="5" customWidth="1"/>
    <col min="2" max="2" width="10.29296875" style="5" customWidth="1"/>
    <col min="3" max="10" width="8.703125" style="5" customWidth="1"/>
    <col min="11" max="16384" width="11.41015625" style="5"/>
  </cols>
  <sheetData>
    <row r="1" spans="1:18" x14ac:dyDescent="0.4">
      <c r="A1" s="1" t="s">
        <v>0</v>
      </c>
      <c r="B1" s="2"/>
      <c r="C1" s="2"/>
      <c r="D1" s="2" t="s">
        <v>1</v>
      </c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4"/>
    </row>
    <row r="2" spans="1:18" x14ac:dyDescent="0.4">
      <c r="A2" s="2"/>
      <c r="B2" s="2" t="s">
        <v>2</v>
      </c>
      <c r="C2" s="2" t="s">
        <v>3</v>
      </c>
      <c r="D2" s="4"/>
      <c r="E2" s="2">
        <f>B5</f>
        <v>0.94786729857819907</v>
      </c>
      <c r="F2" s="2" t="s">
        <v>4</v>
      </c>
      <c r="G2" s="6"/>
      <c r="H2" s="2"/>
      <c r="I2" s="2"/>
      <c r="J2" s="2"/>
      <c r="K2" s="2"/>
      <c r="L2" s="3"/>
      <c r="M2" s="3"/>
      <c r="N2" s="3"/>
      <c r="O2" s="3"/>
      <c r="P2" s="3"/>
      <c r="Q2" s="3"/>
      <c r="R2" s="4"/>
    </row>
    <row r="3" spans="1:18" x14ac:dyDescent="0.4">
      <c r="A3" s="7" t="s">
        <v>5</v>
      </c>
      <c r="B3" s="8" t="s">
        <v>4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</row>
    <row r="4" spans="1:18" x14ac:dyDescent="0.4">
      <c r="A4" s="9" t="s">
        <v>4</v>
      </c>
      <c r="B4" s="10">
        <v>1</v>
      </c>
      <c r="C4" s="11">
        <f>F4/F20*C20</f>
        <v>1.0549999999999999</v>
      </c>
      <c r="D4" s="11">
        <f>1/B6</f>
        <v>3.5997488706001171E-5</v>
      </c>
      <c r="E4" s="11">
        <f>1/B7</f>
        <v>2.8316846592000004E-2</v>
      </c>
      <c r="F4" s="6">
        <v>1000</v>
      </c>
      <c r="G4" s="11">
        <f>$F4/$F6*G6</f>
        <v>2.5198242094200818E-5</v>
      </c>
      <c r="H4" s="11">
        <f>$F4/$F6*H6</f>
        <v>1.8470311455049204E-4</v>
      </c>
      <c r="I4" s="11">
        <f>+J4*8760</f>
        <v>0.29305555555555562</v>
      </c>
      <c r="J4" s="11">
        <f>$F4/$F6*J6</f>
        <v>3.3453830542871646E-5</v>
      </c>
      <c r="K4" s="11">
        <f>$F4/$F6*K6</f>
        <v>251.98242094200819</v>
      </c>
      <c r="L4" s="11">
        <f>$F4/$F6*L6</f>
        <v>1.0550000000000001E-6</v>
      </c>
      <c r="M4" s="11">
        <f t="shared" ref="M4:M14" si="0">K4/10^6</f>
        <v>2.5198242094200818E-4</v>
      </c>
      <c r="N4" s="11">
        <f t="shared" ref="N4:N15" si="1">G4/10^6</f>
        <v>2.5198242094200818E-11</v>
      </c>
      <c r="O4" s="11">
        <f t="shared" ref="O4:O16" si="2">F4/10^6</f>
        <v>1E-3</v>
      </c>
      <c r="P4" s="11">
        <f>Q4/Q$19*P$19</f>
        <v>2.930555555555556E-7</v>
      </c>
      <c r="Q4" s="11">
        <f t="shared" ref="Q4:Q10" si="3">J4/1000000</f>
        <v>3.3453830542871643E-11</v>
      </c>
      <c r="R4" s="11">
        <f t="shared" ref="R4:R10" si="4">C4*10^(-9)</f>
        <v>1.055E-9</v>
      </c>
    </row>
    <row r="5" spans="1:18" x14ac:dyDescent="0.4">
      <c r="A5" s="9" t="s">
        <v>6</v>
      </c>
      <c r="B5" s="11">
        <f>1/C4</f>
        <v>0.94786729857819907</v>
      </c>
      <c r="C5" s="10">
        <v>1</v>
      </c>
      <c r="D5" s="11">
        <f>1/C6</f>
        <v>3.4120842375356554E-5</v>
      </c>
      <c r="E5" s="11">
        <f>1/C7</f>
        <v>2.6840612883412329E-2</v>
      </c>
      <c r="F5" s="11">
        <f>1/C8</f>
        <v>947.8672985781991</v>
      </c>
      <c r="G5" s="11">
        <f>1/C9</f>
        <v>2.3884589662749594E-5</v>
      </c>
      <c r="H5" s="11">
        <f>G5/G9*H9</f>
        <v>1.7507404222795453E-4</v>
      </c>
      <c r="I5" s="11">
        <f t="shared" ref="I5:I20" si="5">+J5*8760</f>
        <v>0.27777777777777779</v>
      </c>
      <c r="J5" s="11">
        <f>1/C12</f>
        <v>3.1709791983764585E-5</v>
      </c>
      <c r="K5" s="11">
        <f>G5*10^7</f>
        <v>238.84589662749593</v>
      </c>
      <c r="L5" s="11">
        <f>C5/1000000</f>
        <v>9.9999999999999995E-7</v>
      </c>
      <c r="M5" s="11">
        <f t="shared" si="0"/>
        <v>2.3884589662749594E-4</v>
      </c>
      <c r="N5" s="11">
        <f t="shared" si="1"/>
        <v>2.3884589662749594E-11</v>
      </c>
      <c r="O5" s="11">
        <f t="shared" si="2"/>
        <v>9.4786729857819908E-4</v>
      </c>
      <c r="P5" s="11">
        <f>1/C18</f>
        <v>2.7777777777777776E-7</v>
      </c>
      <c r="Q5" s="11">
        <f t="shared" si="3"/>
        <v>3.1709791983764586E-11</v>
      </c>
      <c r="R5" s="11">
        <f t="shared" si="4"/>
        <v>1.0000000000000001E-9</v>
      </c>
    </row>
    <row r="6" spans="1:18" x14ac:dyDescent="0.4">
      <c r="A6" s="9" t="s">
        <v>7</v>
      </c>
      <c r="B6" s="11">
        <f>G6/G7*B7</f>
        <v>27779.715639810427</v>
      </c>
      <c r="C6" s="11">
        <f>$K6/$K9*C9</f>
        <v>29307.600000000006</v>
      </c>
      <c r="D6" s="10">
        <v>1</v>
      </c>
      <c r="E6" s="11">
        <f>$K6/$K9*E9</f>
        <v>786.63394614189531</v>
      </c>
      <c r="F6" s="11">
        <f>$K6/$K9*F9</f>
        <v>27779715.639810428</v>
      </c>
      <c r="G6" s="6">
        <v>0.7</v>
      </c>
      <c r="H6" s="11">
        <f>$K6/$K9*H9</f>
        <v>5.1310000000000011</v>
      </c>
      <c r="I6" s="11">
        <f t="shared" si="5"/>
        <v>8141.0000000000018</v>
      </c>
      <c r="J6" s="11">
        <f>$K6/$K9*J9</f>
        <v>0.9293378995433792</v>
      </c>
      <c r="K6" s="11">
        <f>G6*10^7</f>
        <v>7000000</v>
      </c>
      <c r="L6" s="11">
        <f>C6/1000000</f>
        <v>2.9307600000000007E-2</v>
      </c>
      <c r="M6" s="11">
        <f t="shared" si="0"/>
        <v>7</v>
      </c>
      <c r="N6" s="11">
        <f t="shared" si="1"/>
        <v>6.9999999999999997E-7</v>
      </c>
      <c r="O6" s="11">
        <f t="shared" si="2"/>
        <v>27.779715639810426</v>
      </c>
      <c r="P6" s="11">
        <f>Q6/Q$19*P$19</f>
        <v>8.1410000000000024E-3</v>
      </c>
      <c r="Q6" s="11">
        <f t="shared" si="3"/>
        <v>9.2933789954337924E-7</v>
      </c>
      <c r="R6" s="11">
        <f t="shared" si="4"/>
        <v>2.9307600000000007E-5</v>
      </c>
    </row>
    <row r="7" spans="1:18" x14ac:dyDescent="0.4">
      <c r="A7" s="9" t="s">
        <v>22</v>
      </c>
      <c r="B7" s="6">
        <f>1/0.3048^3</f>
        <v>35.314666721488585</v>
      </c>
      <c r="C7" s="11">
        <f>B7/B4*C4</f>
        <v>37.256973391170455</v>
      </c>
      <c r="D7" s="11">
        <f>1/E6</f>
        <v>1.2712393164629806E-3</v>
      </c>
      <c r="E7" s="10">
        <v>1</v>
      </c>
      <c r="F7" s="11">
        <f>G7/G8*F8</f>
        <v>35314.666721488582</v>
      </c>
      <c r="G7" s="11">
        <f>C7/C9*G9</f>
        <v>8.8986752152408653E-4</v>
      </c>
      <c r="H7" s="11">
        <f>H9*G7</f>
        <v>6.5227289327715546E-3</v>
      </c>
      <c r="I7" s="11">
        <f t="shared" si="5"/>
        <v>10.349159275325126</v>
      </c>
      <c r="J7" s="11">
        <f>C7/C5*J5</f>
        <v>1.1814108761786673E-3</v>
      </c>
      <c r="K7" s="11">
        <f>G7*10^7</f>
        <v>8898.6752152408644</v>
      </c>
      <c r="L7" s="11">
        <f>C7/1000000</f>
        <v>3.7256973391170452E-5</v>
      </c>
      <c r="M7" s="11">
        <f t="shared" si="0"/>
        <v>8.898675215240865E-3</v>
      </c>
      <c r="N7" s="11">
        <f t="shared" si="1"/>
        <v>8.8986752152408655E-10</v>
      </c>
      <c r="O7" s="11">
        <f t="shared" si="2"/>
        <v>3.5314666721488579E-2</v>
      </c>
      <c r="P7" s="11">
        <f>Q7/Q$19*P$19</f>
        <v>1.0349159275325126E-5</v>
      </c>
      <c r="Q7" s="11">
        <f t="shared" si="3"/>
        <v>1.1814108761786673E-9</v>
      </c>
      <c r="R7" s="11">
        <f t="shared" si="4"/>
        <v>3.7256973391170458E-8</v>
      </c>
    </row>
    <row r="8" spans="1:18" x14ac:dyDescent="0.4">
      <c r="A8" s="9" t="s">
        <v>9</v>
      </c>
      <c r="B8" s="11">
        <f>1/F4</f>
        <v>1E-3</v>
      </c>
      <c r="C8" s="6">
        <f>1.055/10^3</f>
        <v>1.0549999999999999E-3</v>
      </c>
      <c r="D8" s="11">
        <f>1/F6</f>
        <v>3.5997488706001172E-8</v>
      </c>
      <c r="E8" s="11">
        <f>1/F7</f>
        <v>2.8316846592000006E-5</v>
      </c>
      <c r="F8" s="10">
        <v>1</v>
      </c>
      <c r="G8" s="11">
        <f>B8/B7*G7</f>
        <v>2.5198242094200823E-8</v>
      </c>
      <c r="H8" s="11">
        <f>G8*H9</f>
        <v>1.8470311455049203E-7</v>
      </c>
      <c r="I8" s="11">
        <f t="shared" si="5"/>
        <v>2.9305555555555552E-4</v>
      </c>
      <c r="J8" s="11">
        <f>G8/G9*J9</f>
        <v>3.3453830542871636E-8</v>
      </c>
      <c r="K8" s="11">
        <f>G8*10^7</f>
        <v>0.25198242094200823</v>
      </c>
      <c r="L8" s="11">
        <f>C8/1000000</f>
        <v>1.055E-9</v>
      </c>
      <c r="M8" s="11">
        <f t="shared" si="0"/>
        <v>2.5198242094200821E-7</v>
      </c>
      <c r="N8" s="11">
        <f t="shared" si="1"/>
        <v>2.5198242094200822E-14</v>
      </c>
      <c r="O8" s="11">
        <f t="shared" si="2"/>
        <v>9.9999999999999995E-7</v>
      </c>
      <c r="P8" s="11">
        <f>Q8/Q$19*P$19</f>
        <v>2.9305555555555556E-10</v>
      </c>
      <c r="Q8" s="11">
        <f t="shared" si="3"/>
        <v>3.3453830542871637E-14</v>
      </c>
      <c r="R8" s="11">
        <f t="shared" si="4"/>
        <v>1.055E-12</v>
      </c>
    </row>
    <row r="9" spans="1:18" x14ac:dyDescent="0.4">
      <c r="A9" s="9" t="s">
        <v>10</v>
      </c>
      <c r="B9" s="11">
        <f>$G9/$G7*B7</f>
        <v>39685.30805687204</v>
      </c>
      <c r="C9" s="6">
        <v>41868</v>
      </c>
      <c r="D9" s="11">
        <f>1/G6</f>
        <v>1.4285714285714286</v>
      </c>
      <c r="E9" s="11">
        <f>1/G7</f>
        <v>1123.7627802027073</v>
      </c>
      <c r="F9" s="11">
        <f>1/G8</f>
        <v>39685308.056872033</v>
      </c>
      <c r="G9" s="10">
        <v>1</v>
      </c>
      <c r="H9" s="6">
        <v>7.33</v>
      </c>
      <c r="I9" s="11">
        <f t="shared" si="5"/>
        <v>11630</v>
      </c>
      <c r="J9" s="11">
        <f>$G9/$G7*J7</f>
        <v>1.3276255707762556</v>
      </c>
      <c r="K9" s="11">
        <f>$G9/$G7*K7</f>
        <v>9999999.9999999981</v>
      </c>
      <c r="L9" s="11">
        <f>$G9/$G7*L7</f>
        <v>4.1867999999999995E-2</v>
      </c>
      <c r="M9" s="11">
        <f t="shared" si="0"/>
        <v>9.9999999999999982</v>
      </c>
      <c r="N9" s="11">
        <f t="shared" si="1"/>
        <v>9.9999999999999995E-7</v>
      </c>
      <c r="O9" s="11">
        <f t="shared" si="2"/>
        <v>39.685308056872032</v>
      </c>
      <c r="P9" s="11">
        <f>Q9/Q$19*P$19</f>
        <v>1.163E-2</v>
      </c>
      <c r="Q9" s="11">
        <f t="shared" si="3"/>
        <v>1.3276255707762557E-6</v>
      </c>
      <c r="R9" s="11">
        <f t="shared" si="4"/>
        <v>4.1868E-5</v>
      </c>
    </row>
    <row r="10" spans="1:18" x14ac:dyDescent="0.4">
      <c r="A10" s="9" t="s">
        <v>11</v>
      </c>
      <c r="B10" s="11">
        <f>1/H4</f>
        <v>5414.0938686046429</v>
      </c>
      <c r="C10" s="11">
        <f>1/H5</f>
        <v>5711.8690313778989</v>
      </c>
      <c r="D10" s="11">
        <f>1/H6</f>
        <v>0.19489378288832582</v>
      </c>
      <c r="E10" s="11">
        <f>1/H7</f>
        <v>153.31006551196552</v>
      </c>
      <c r="F10" s="11">
        <f>1/H8</f>
        <v>5414093.8686046433</v>
      </c>
      <c r="G10" s="11">
        <f>1/H9</f>
        <v>0.13642564802182811</v>
      </c>
      <c r="H10" s="10">
        <v>1</v>
      </c>
      <c r="I10" s="11">
        <f t="shared" si="5"/>
        <v>1586.6302864938609</v>
      </c>
      <c r="J10" s="11">
        <f>J9/$H9*$H10</f>
        <v>0.1811221788235001</v>
      </c>
      <c r="K10" s="11">
        <f>G10*10^7</f>
        <v>1364256.480218281</v>
      </c>
      <c r="L10" s="11">
        <f>C10/1000000</f>
        <v>5.711869031377899E-3</v>
      </c>
      <c r="M10" s="11">
        <f t="shared" si="0"/>
        <v>1.3642564802182811</v>
      </c>
      <c r="N10" s="11">
        <f t="shared" si="1"/>
        <v>1.3642564802182809E-7</v>
      </c>
      <c r="O10" s="11">
        <f t="shared" si="2"/>
        <v>5.4140938686046436</v>
      </c>
      <c r="P10" s="11">
        <f>Q10/Q$19*P$19</f>
        <v>1.5866302864938609E-3</v>
      </c>
      <c r="Q10" s="11">
        <f t="shared" si="3"/>
        <v>1.811221788235001E-7</v>
      </c>
      <c r="R10" s="11">
        <f t="shared" si="4"/>
        <v>5.711869031377899E-6</v>
      </c>
    </row>
    <row r="11" spans="1:18" x14ac:dyDescent="0.4">
      <c r="A11" s="9" t="s">
        <v>12</v>
      </c>
      <c r="B11" s="11">
        <f>+B12/8760</f>
        <v>3.4123222748815158</v>
      </c>
      <c r="C11" s="11">
        <f t="shared" ref="C11:R11" si="6">+C12/8760</f>
        <v>3.6</v>
      </c>
      <c r="D11" s="11">
        <f t="shared" si="6"/>
        <v>1.2283503255128359E-4</v>
      </c>
      <c r="E11" s="11">
        <f t="shared" si="6"/>
        <v>9.6626206380284393E-2</v>
      </c>
      <c r="F11" s="11">
        <f t="shared" si="6"/>
        <v>3412.3222748815165</v>
      </c>
      <c r="G11" s="11">
        <f t="shared" si="6"/>
        <v>8.5984522785898537E-5</v>
      </c>
      <c r="H11" s="11">
        <f t="shared" si="6"/>
        <v>6.3026655202063622E-4</v>
      </c>
      <c r="I11" s="10">
        <v>1</v>
      </c>
      <c r="J11" s="11">
        <f t="shared" si="6"/>
        <v>1.1415525114155251E-4</v>
      </c>
      <c r="K11" s="11">
        <f t="shared" si="6"/>
        <v>859.84522785898537</v>
      </c>
      <c r="L11" s="11">
        <f t="shared" si="6"/>
        <v>3.6000000000000003E-6</v>
      </c>
      <c r="M11" s="11">
        <f t="shared" si="6"/>
        <v>8.5984522785898529E-4</v>
      </c>
      <c r="N11" s="11">
        <f t="shared" si="6"/>
        <v>8.5984522785898545E-11</v>
      </c>
      <c r="O11" s="11">
        <f t="shared" si="6"/>
        <v>3.4123222748815162E-3</v>
      </c>
      <c r="P11" s="11">
        <f t="shared" si="6"/>
        <v>9.9999999999999995E-7</v>
      </c>
      <c r="Q11" s="11">
        <f t="shared" si="6"/>
        <v>1.1415525114155251E-10</v>
      </c>
      <c r="R11" s="11">
        <f t="shared" si="6"/>
        <v>3.5999999999999996E-9</v>
      </c>
    </row>
    <row r="12" spans="1:18" x14ac:dyDescent="0.4">
      <c r="A12" s="9" t="s">
        <v>13</v>
      </c>
      <c r="B12" s="11">
        <f>1/J4</f>
        <v>29891.94312796208</v>
      </c>
      <c r="C12" s="11">
        <f>$H12/$H9*C9</f>
        <v>31536</v>
      </c>
      <c r="D12" s="11">
        <f>1/J6</f>
        <v>1.0760348851492443</v>
      </c>
      <c r="E12" s="11">
        <f>1/J7</f>
        <v>846.44556789129126</v>
      </c>
      <c r="F12" s="11">
        <f>F4/R4*R12</f>
        <v>29891943.127962083</v>
      </c>
      <c r="G12" s="11">
        <f>$H12/$H9*G9</f>
        <v>0.75322441960447117</v>
      </c>
      <c r="H12" s="11">
        <f>F12/F10*H10</f>
        <v>5.5211349957007734</v>
      </c>
      <c r="I12" s="11">
        <f t="shared" si="5"/>
        <v>8760</v>
      </c>
      <c r="J12" s="10">
        <v>1</v>
      </c>
      <c r="K12" s="11">
        <f>G12*10^7</f>
        <v>7532244.1960447114</v>
      </c>
      <c r="L12" s="11">
        <f>C12/1000000</f>
        <v>3.1536000000000002E-2</v>
      </c>
      <c r="M12" s="11">
        <f t="shared" si="0"/>
        <v>7.5322441960447115</v>
      </c>
      <c r="N12" s="11">
        <f t="shared" si="1"/>
        <v>7.532244196044712E-7</v>
      </c>
      <c r="O12" s="11">
        <f t="shared" si="2"/>
        <v>29.891943127962083</v>
      </c>
      <c r="P12" s="11">
        <f>P19/10^6</f>
        <v>8.7600000000000004E-3</v>
      </c>
      <c r="Q12" s="11">
        <f>Q19/10^6</f>
        <v>9.9999999999999995E-7</v>
      </c>
      <c r="R12" s="11">
        <f>R20/Q20*Q12</f>
        <v>3.1535999999999998E-5</v>
      </c>
    </row>
    <row r="13" spans="1:18" x14ac:dyDescent="0.4">
      <c r="A13" s="9" t="s">
        <v>14</v>
      </c>
      <c r="B13" s="11">
        <f t="shared" ref="B13:J13" si="7">B9*10^(-7)</f>
        <v>3.9685308056872041E-3</v>
      </c>
      <c r="C13" s="11">
        <f t="shared" si="7"/>
        <v>4.1868000000000001E-3</v>
      </c>
      <c r="D13" s="11">
        <f t="shared" si="7"/>
        <v>1.4285714285714285E-7</v>
      </c>
      <c r="E13" s="11">
        <f t="shared" si="7"/>
        <v>1.1237627802027073E-4</v>
      </c>
      <c r="F13" s="11">
        <f t="shared" si="7"/>
        <v>3.9685308056872031</v>
      </c>
      <c r="G13" s="11">
        <f t="shared" si="7"/>
        <v>9.9999999999999995E-8</v>
      </c>
      <c r="H13" s="11">
        <f t="shared" si="7"/>
        <v>7.3300000000000001E-7</v>
      </c>
      <c r="I13" s="11">
        <f t="shared" si="5"/>
        <v>1.163E-3</v>
      </c>
      <c r="J13" s="11">
        <f t="shared" si="7"/>
        <v>1.3276255707762556E-7</v>
      </c>
      <c r="K13" s="10">
        <v>1</v>
      </c>
      <c r="L13" s="11">
        <f>L9*10^(-7)</f>
        <v>4.1867999999999996E-9</v>
      </c>
      <c r="M13" s="11">
        <f t="shared" si="0"/>
        <v>9.9999999999999995E-7</v>
      </c>
      <c r="N13" s="11">
        <f t="shared" si="1"/>
        <v>9.999999999999999E-14</v>
      </c>
      <c r="O13" s="11">
        <f t="shared" si="2"/>
        <v>3.9685308056872029E-6</v>
      </c>
      <c r="P13" s="11">
        <f>Q13/Q$19*P$19</f>
        <v>1.163E-9</v>
      </c>
      <c r="Q13" s="11">
        <f>Q9*10^(-7)</f>
        <v>1.3276255707762557E-13</v>
      </c>
      <c r="R13" s="11">
        <f t="shared" ref="R13:R18" si="8">C13*10^(-9)</f>
        <v>4.1868000000000007E-12</v>
      </c>
    </row>
    <row r="14" spans="1:18" x14ac:dyDescent="0.4">
      <c r="A14" s="9" t="s">
        <v>15</v>
      </c>
      <c r="B14" s="11">
        <f t="shared" ref="B14:J14" si="9">B5*10^6</f>
        <v>947867.29857819912</v>
      </c>
      <c r="C14" s="11">
        <f t="shared" si="9"/>
        <v>1000000</v>
      </c>
      <c r="D14" s="11">
        <f t="shared" si="9"/>
        <v>34.120842375356553</v>
      </c>
      <c r="E14" s="11">
        <f t="shared" si="9"/>
        <v>26840.61288341233</v>
      </c>
      <c r="F14" s="11">
        <f t="shared" si="9"/>
        <v>947867298.57819915</v>
      </c>
      <c r="G14" s="11">
        <f t="shared" si="9"/>
        <v>23.884589662749594</v>
      </c>
      <c r="H14" s="11">
        <f t="shared" si="9"/>
        <v>175.07404222795452</v>
      </c>
      <c r="I14" s="11">
        <f t="shared" si="5"/>
        <v>277777.77777777775</v>
      </c>
      <c r="J14" s="11">
        <f t="shared" si="9"/>
        <v>31.709791983764585</v>
      </c>
      <c r="K14" s="11">
        <f>G14*10^7</f>
        <v>238845896.62749594</v>
      </c>
      <c r="L14" s="10">
        <v>1</v>
      </c>
      <c r="M14" s="11">
        <f t="shared" si="0"/>
        <v>238.84589662749593</v>
      </c>
      <c r="N14" s="11">
        <f t="shared" si="1"/>
        <v>2.3884589662749594E-5</v>
      </c>
      <c r="O14" s="11">
        <f t="shared" si="2"/>
        <v>947.8672985781991</v>
      </c>
      <c r="P14" s="11">
        <f>Q14/Q$19*P$19</f>
        <v>0.27777777777777779</v>
      </c>
      <c r="Q14" s="11">
        <f>Q5*10^6</f>
        <v>3.1709791983764585E-5</v>
      </c>
      <c r="R14" s="11">
        <f t="shared" si="8"/>
        <v>1E-3</v>
      </c>
    </row>
    <row r="15" spans="1:18" x14ac:dyDescent="0.4">
      <c r="A15" s="9" t="s">
        <v>16</v>
      </c>
      <c r="B15" s="11">
        <f t="shared" ref="B15:J15" si="10">B9/10</f>
        <v>3968.5308056872041</v>
      </c>
      <c r="C15" s="11">
        <f t="shared" si="10"/>
        <v>4186.8</v>
      </c>
      <c r="D15" s="11">
        <f t="shared" si="10"/>
        <v>0.14285714285714285</v>
      </c>
      <c r="E15" s="11">
        <f t="shared" si="10"/>
        <v>112.37627802027073</v>
      </c>
      <c r="F15" s="11">
        <f t="shared" si="10"/>
        <v>3968530.8056872031</v>
      </c>
      <c r="G15" s="11">
        <f t="shared" si="10"/>
        <v>0.1</v>
      </c>
      <c r="H15" s="11">
        <f t="shared" si="10"/>
        <v>0.73299999999999998</v>
      </c>
      <c r="I15" s="11">
        <f t="shared" si="5"/>
        <v>1163</v>
      </c>
      <c r="J15" s="11">
        <f t="shared" si="10"/>
        <v>0.13276255707762558</v>
      </c>
      <c r="K15" s="11">
        <f>G15*10^7</f>
        <v>1000000</v>
      </c>
      <c r="L15" s="11">
        <f>L9/10</f>
        <v>4.1867999999999992E-3</v>
      </c>
      <c r="M15" s="10">
        <v>1</v>
      </c>
      <c r="N15" s="11">
        <f t="shared" si="1"/>
        <v>1.0000000000000001E-7</v>
      </c>
      <c r="O15" s="11">
        <f t="shared" si="2"/>
        <v>3.9685308056872031</v>
      </c>
      <c r="P15" s="11">
        <f>Q15/Q$19*P$19</f>
        <v>1.1630000000000002E-3</v>
      </c>
      <c r="Q15" s="11">
        <f>Q9/10</f>
        <v>1.3276255707762558E-7</v>
      </c>
      <c r="R15" s="11">
        <f t="shared" si="8"/>
        <v>4.1868000000000003E-6</v>
      </c>
    </row>
    <row r="16" spans="1:18" x14ac:dyDescent="0.4">
      <c r="A16" s="9" t="s">
        <v>17</v>
      </c>
      <c r="B16" s="11">
        <f t="shared" ref="B16:J16" si="11">B9*10^6</f>
        <v>39685308056.87204</v>
      </c>
      <c r="C16" s="11">
        <f t="shared" si="11"/>
        <v>41868000000</v>
      </c>
      <c r="D16" s="11">
        <f t="shared" si="11"/>
        <v>1428571.4285714286</v>
      </c>
      <c r="E16" s="11">
        <f t="shared" si="11"/>
        <v>1123762780.2027073</v>
      </c>
      <c r="F16" s="11">
        <f t="shared" si="11"/>
        <v>39685308056872.031</v>
      </c>
      <c r="G16" s="11">
        <f t="shared" si="11"/>
        <v>1000000</v>
      </c>
      <c r="H16" s="11">
        <f t="shared" si="11"/>
        <v>7330000</v>
      </c>
      <c r="I16" s="11">
        <f t="shared" si="5"/>
        <v>11629999999.999998</v>
      </c>
      <c r="J16" s="11">
        <f t="shared" si="11"/>
        <v>1327625.5707762556</v>
      </c>
      <c r="K16" s="11">
        <f>G16*10^7</f>
        <v>10000000000000</v>
      </c>
      <c r="L16" s="11">
        <f>L9*10^6</f>
        <v>41867.999999999993</v>
      </c>
      <c r="M16" s="11">
        <f>K16/10^6</f>
        <v>10000000</v>
      </c>
      <c r="N16" s="10">
        <v>1</v>
      </c>
      <c r="O16" s="11">
        <f t="shared" si="2"/>
        <v>39685308.056872033</v>
      </c>
      <c r="P16" s="11">
        <f>Q16/Q$19*P$19</f>
        <v>11630</v>
      </c>
      <c r="Q16" s="11">
        <f>Q9*10^6</f>
        <v>1.3276255707762556</v>
      </c>
      <c r="R16" s="11">
        <f t="shared" si="8"/>
        <v>41.868000000000002</v>
      </c>
    </row>
    <row r="17" spans="1:18" x14ac:dyDescent="0.4">
      <c r="A17" s="9" t="s">
        <v>18</v>
      </c>
      <c r="B17" s="11">
        <f t="shared" ref="B17:J17" si="12">B4*10^3</f>
        <v>1000</v>
      </c>
      <c r="C17" s="11">
        <f t="shared" si="12"/>
        <v>1055</v>
      </c>
      <c r="D17" s="11">
        <f t="shared" si="12"/>
        <v>3.5997488706001168E-2</v>
      </c>
      <c r="E17" s="11">
        <f t="shared" si="12"/>
        <v>28.316846592000005</v>
      </c>
      <c r="F17" s="11">
        <f t="shared" si="12"/>
        <v>1000000</v>
      </c>
      <c r="G17" s="11">
        <f t="shared" si="12"/>
        <v>2.5198242094200816E-2</v>
      </c>
      <c r="H17" s="11">
        <f t="shared" si="12"/>
        <v>0.18470311455049204</v>
      </c>
      <c r="I17" s="11">
        <f t="shared" si="5"/>
        <v>293.05555555555566</v>
      </c>
      <c r="J17" s="11">
        <f t="shared" si="12"/>
        <v>3.3453830542871647E-2</v>
      </c>
      <c r="K17" s="11">
        <f>G17*10^7</f>
        <v>251982.42094200818</v>
      </c>
      <c r="L17" s="11">
        <f>L4*10^3</f>
        <v>1.0550000000000002E-3</v>
      </c>
      <c r="M17" s="11">
        <f>M4*10^3</f>
        <v>0.25198242094200818</v>
      </c>
      <c r="N17" s="11">
        <f>N4*10^3</f>
        <v>2.519824209420082E-8</v>
      </c>
      <c r="O17" s="10">
        <v>1</v>
      </c>
      <c r="P17" s="11">
        <f>Q17/Q$19*P$19</f>
        <v>2.9305555555555557E-4</v>
      </c>
      <c r="Q17" s="11">
        <f>Q4*10^3</f>
        <v>3.3453830542871643E-8</v>
      </c>
      <c r="R17" s="11">
        <f t="shared" si="8"/>
        <v>1.0550000000000001E-6</v>
      </c>
    </row>
    <row r="18" spans="1:18" x14ac:dyDescent="0.4">
      <c r="A18" s="9" t="s">
        <v>19</v>
      </c>
      <c r="B18" s="11">
        <f>C18/C5*B5</f>
        <v>3412322.2748815166</v>
      </c>
      <c r="C18" s="6">
        <v>3600000</v>
      </c>
      <c r="D18" s="11">
        <f>C18/C9*D9</f>
        <v>122.83503255128362</v>
      </c>
      <c r="E18" s="11">
        <f>1/P7</f>
        <v>96626.206380284391</v>
      </c>
      <c r="F18" s="11">
        <f>C18/C9*F9</f>
        <v>3412322274.881516</v>
      </c>
      <c r="G18" s="11">
        <f>$C18/$C9*G9</f>
        <v>85.984522785898534</v>
      </c>
      <c r="H18" s="11">
        <f>G18/G9*H9</f>
        <v>630.26655202063625</v>
      </c>
      <c r="I18" s="11">
        <f t="shared" si="5"/>
        <v>999999.99999999988</v>
      </c>
      <c r="J18" s="11">
        <f>$C18/$C9*J9</f>
        <v>114.1552511415525</v>
      </c>
      <c r="K18" s="11">
        <f>$C18/$C9*K9</f>
        <v>859845227.85898519</v>
      </c>
      <c r="L18" s="11">
        <f>$C18/$C9*L9</f>
        <v>3.5999999999999996</v>
      </c>
      <c r="M18" s="11">
        <f>$C18/$C9*M9</f>
        <v>859.84522785898514</v>
      </c>
      <c r="N18" s="11">
        <f>G18/10^6</f>
        <v>8.5984522785898537E-5</v>
      </c>
      <c r="O18" s="11">
        <f>F18/10^6</f>
        <v>3412.322274881516</v>
      </c>
      <c r="P18" s="10">
        <v>1</v>
      </c>
      <c r="Q18" s="11">
        <f>1/P19</f>
        <v>1.1415525114155251E-4</v>
      </c>
      <c r="R18" s="11">
        <f t="shared" si="8"/>
        <v>3.6000000000000003E-3</v>
      </c>
    </row>
    <row r="19" spans="1:18" x14ac:dyDescent="0.4">
      <c r="A19" s="9" t="s">
        <v>20</v>
      </c>
      <c r="B19" s="11">
        <f t="shared" ref="B19:J19" si="13">B12*1000000</f>
        <v>29891943127.962082</v>
      </c>
      <c r="C19" s="11">
        <f t="shared" si="13"/>
        <v>31536000000</v>
      </c>
      <c r="D19" s="11">
        <f t="shared" si="13"/>
        <v>1076034.8851492442</v>
      </c>
      <c r="E19" s="11">
        <f t="shared" si="13"/>
        <v>846445567.89129126</v>
      </c>
      <c r="F19" s="11">
        <f t="shared" si="13"/>
        <v>29891943127962.082</v>
      </c>
      <c r="G19" s="11">
        <f t="shared" si="13"/>
        <v>753224.41960447119</v>
      </c>
      <c r="H19" s="11">
        <f t="shared" si="13"/>
        <v>5521134.9957007738</v>
      </c>
      <c r="I19" s="11">
        <f t="shared" si="5"/>
        <v>8760000000</v>
      </c>
      <c r="J19" s="11">
        <f t="shared" si="13"/>
        <v>1000000</v>
      </c>
      <c r="K19" s="11">
        <f>G19*10^7</f>
        <v>7532244196044.7119</v>
      </c>
      <c r="L19" s="11">
        <f>L12*1000000</f>
        <v>31536</v>
      </c>
      <c r="M19" s="11">
        <f>K19/10^6</f>
        <v>7532244.1960447123</v>
      </c>
      <c r="N19" s="11">
        <f>G19/10^6</f>
        <v>0.75322441960447117</v>
      </c>
      <c r="O19" s="11">
        <f>F19/10^6</f>
        <v>29891943.127962083</v>
      </c>
      <c r="P19" s="6">
        <v>8760</v>
      </c>
      <c r="Q19" s="10">
        <v>1</v>
      </c>
      <c r="R19" s="11">
        <f>P19/P18*R18</f>
        <v>31.536000000000001</v>
      </c>
    </row>
    <row r="20" spans="1:18" x14ac:dyDescent="0.4">
      <c r="A20" s="9" t="s">
        <v>21</v>
      </c>
      <c r="B20" s="11">
        <f t="shared" ref="B20:J20" si="14">B5*10^9</f>
        <v>947867298.57819903</v>
      </c>
      <c r="C20" s="11">
        <f t="shared" si="14"/>
        <v>1000000000</v>
      </c>
      <c r="D20" s="11">
        <f t="shared" si="14"/>
        <v>34120.842375356551</v>
      </c>
      <c r="E20" s="11">
        <f t="shared" si="14"/>
        <v>26840612.883412328</v>
      </c>
      <c r="F20" s="11">
        <f t="shared" si="14"/>
        <v>947867298578.1991</v>
      </c>
      <c r="G20" s="11">
        <f t="shared" si="14"/>
        <v>23884.589662749593</v>
      </c>
      <c r="H20" s="11">
        <f t="shared" si="14"/>
        <v>175074.04222795452</v>
      </c>
      <c r="I20" s="11">
        <f t="shared" si="5"/>
        <v>277777777.77777779</v>
      </c>
      <c r="J20" s="11">
        <f t="shared" si="14"/>
        <v>31709.791983764586</v>
      </c>
      <c r="K20" s="11">
        <f>G20*10^7</f>
        <v>238845896627.49594</v>
      </c>
      <c r="L20" s="11">
        <f>L5*10^9</f>
        <v>1000</v>
      </c>
      <c r="M20" s="11">
        <f>K20/10^6</f>
        <v>238845.89662749594</v>
      </c>
      <c r="N20" s="11">
        <f>G20/10^6</f>
        <v>2.3884589662749593E-2</v>
      </c>
      <c r="O20" s="11">
        <f>F20/10^6</f>
        <v>947867.29857819912</v>
      </c>
      <c r="P20" s="11">
        <f>P19/R19*R20</f>
        <v>277.77777777777777</v>
      </c>
      <c r="Q20" s="11">
        <f>P20/P19*Q19</f>
        <v>3.1709791983764585E-2</v>
      </c>
      <c r="R20" s="10">
        <v>1</v>
      </c>
    </row>
    <row r="21" spans="1:18" x14ac:dyDescent="0.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4">
      <c r="A22" s="12"/>
      <c r="B22" s="13" t="s">
        <v>23</v>
      </c>
      <c r="C22" s="13"/>
      <c r="D22" s="13"/>
      <c r="E22" s="13" t="s">
        <v>24</v>
      </c>
      <c r="F22" s="13"/>
      <c r="G22" s="13"/>
      <c r="H22" s="13"/>
      <c r="I22" s="13"/>
      <c r="J22" s="13"/>
      <c r="K22" s="13"/>
      <c r="L22" s="13"/>
      <c r="M22" s="13"/>
      <c r="N22" s="12"/>
      <c r="O22" s="12"/>
      <c r="P22" s="12"/>
      <c r="Q22" s="12"/>
      <c r="R22" s="12"/>
    </row>
    <row r="23" spans="1:18" x14ac:dyDescent="0.4">
      <c r="A23" s="12"/>
      <c r="B23" s="14"/>
      <c r="C23" s="14"/>
      <c r="D23" s="14"/>
      <c r="E23" s="14"/>
      <c r="F23" s="13"/>
      <c r="G23" s="13"/>
      <c r="H23" s="13"/>
      <c r="I23" s="13"/>
      <c r="J23" s="13"/>
      <c r="K23" s="15" t="s">
        <v>25</v>
      </c>
      <c r="L23" s="15" t="s">
        <v>26</v>
      </c>
      <c r="M23" s="13"/>
      <c r="N23" s="12"/>
      <c r="O23" s="12"/>
      <c r="P23" s="12"/>
      <c r="Q23" s="12"/>
      <c r="R23" s="12"/>
    </row>
    <row r="24" spans="1:18" x14ac:dyDescent="0.4">
      <c r="A24" s="12"/>
      <c r="B24" s="13"/>
      <c r="C24" s="14"/>
      <c r="D24" s="16" t="s">
        <v>27</v>
      </c>
      <c r="E24" s="17"/>
      <c r="F24" s="16" t="s">
        <v>28</v>
      </c>
      <c r="G24" s="16"/>
      <c r="H24" s="15" t="s">
        <v>25</v>
      </c>
      <c r="I24" s="15"/>
      <c r="J24" s="15" t="s">
        <v>26</v>
      </c>
      <c r="K24" s="15" t="s">
        <v>29</v>
      </c>
      <c r="L24" s="15" t="s">
        <v>29</v>
      </c>
      <c r="M24" s="13"/>
      <c r="N24" s="12"/>
      <c r="O24" s="12"/>
      <c r="P24" s="12"/>
      <c r="Q24" s="12"/>
      <c r="R24" s="12"/>
    </row>
    <row r="25" spans="1:18" x14ac:dyDescent="0.4">
      <c r="A25" s="12"/>
      <c r="B25" s="13" t="s">
        <v>30</v>
      </c>
      <c r="C25" s="13"/>
      <c r="D25" s="18">
        <v>26.8</v>
      </c>
      <c r="E25" s="18">
        <v>28.4</v>
      </c>
      <c r="F25" s="19">
        <v>28.1</v>
      </c>
      <c r="G25" s="18">
        <v>29.9</v>
      </c>
      <c r="H25" s="18">
        <f t="shared" ref="H25:H30" si="15">(D25+E25)/2</f>
        <v>27.6</v>
      </c>
      <c r="I25" s="18"/>
      <c r="J25" s="18">
        <f t="shared" ref="J25:J30" si="16">(F25+G25)/2</f>
        <v>29</v>
      </c>
      <c r="K25" s="20">
        <f t="shared" ref="K25:K30" si="17">H25/10^3*$C$9/10^3</f>
        <v>1.1555568000000001</v>
      </c>
      <c r="L25" s="20">
        <f t="shared" ref="L25:L30" si="18">J25/10^3*$C$9/10^3</f>
        <v>1.214172</v>
      </c>
      <c r="M25" s="21">
        <f t="shared" ref="M25:M30" si="19">L25/$L$27</f>
        <v>1.1394891944990173</v>
      </c>
      <c r="N25" s="12"/>
      <c r="O25" s="12"/>
      <c r="P25" s="12"/>
      <c r="Q25" s="12"/>
      <c r="R25" s="12"/>
    </row>
    <row r="26" spans="1:18" x14ac:dyDescent="0.4">
      <c r="A26" s="12"/>
      <c r="B26" s="13" t="s">
        <v>31</v>
      </c>
      <c r="C26" s="13"/>
      <c r="D26" s="18">
        <v>30.3</v>
      </c>
      <c r="E26" s="18">
        <v>30.3</v>
      </c>
      <c r="F26" s="18">
        <v>28.9</v>
      </c>
      <c r="G26" s="18">
        <v>28.9</v>
      </c>
      <c r="H26" s="18">
        <f t="shared" si="15"/>
        <v>30.3</v>
      </c>
      <c r="I26" s="18"/>
      <c r="J26" s="18">
        <f t="shared" si="16"/>
        <v>28.9</v>
      </c>
      <c r="K26" s="20">
        <f t="shared" si="17"/>
        <v>1.2686004</v>
      </c>
      <c r="L26" s="20">
        <f t="shared" si="18"/>
        <v>1.2099851999999998</v>
      </c>
      <c r="M26" s="21">
        <f t="shared" si="19"/>
        <v>1.1355599214145378</v>
      </c>
      <c r="N26" s="12"/>
      <c r="O26" s="12"/>
      <c r="P26" s="12"/>
      <c r="Q26" s="12"/>
      <c r="R26" s="12"/>
    </row>
    <row r="27" spans="1:18" x14ac:dyDescent="0.4">
      <c r="A27" s="12"/>
      <c r="B27" s="13" t="s">
        <v>32</v>
      </c>
      <c r="C27" s="13"/>
      <c r="D27" s="18">
        <v>23.9</v>
      </c>
      <c r="E27" s="18">
        <v>24.5</v>
      </c>
      <c r="F27" s="18">
        <v>25.1</v>
      </c>
      <c r="G27" s="18">
        <v>25.8</v>
      </c>
      <c r="H27" s="18">
        <f t="shared" si="15"/>
        <v>24.2</v>
      </c>
      <c r="I27" s="18"/>
      <c r="J27" s="18">
        <f t="shared" si="16"/>
        <v>25.450000000000003</v>
      </c>
      <c r="K27" s="20">
        <f t="shared" si="17"/>
        <v>1.0132056</v>
      </c>
      <c r="L27" s="20">
        <f t="shared" si="18"/>
        <v>1.0655406000000003</v>
      </c>
      <c r="M27" s="21">
        <f t="shared" si="19"/>
        <v>1</v>
      </c>
      <c r="N27" s="12"/>
      <c r="O27" s="12"/>
      <c r="P27" s="12"/>
      <c r="Q27" s="12"/>
      <c r="R27" s="12"/>
    </row>
    <row r="28" spans="1:18" x14ac:dyDescent="0.4">
      <c r="A28" s="12"/>
      <c r="B28" s="14" t="s">
        <v>33</v>
      </c>
      <c r="C28" s="14"/>
      <c r="D28" s="19">
        <f>D27*1.18</f>
        <v>28.201999999999998</v>
      </c>
      <c r="E28" s="19">
        <f>E27*1.18</f>
        <v>28.91</v>
      </c>
      <c r="F28" s="19">
        <f>F27*1.18</f>
        <v>29.617999999999999</v>
      </c>
      <c r="G28" s="19">
        <f>G27*1.18</f>
        <v>30.443999999999999</v>
      </c>
      <c r="H28" s="18">
        <f t="shared" si="15"/>
        <v>28.555999999999997</v>
      </c>
      <c r="I28" s="18"/>
      <c r="J28" s="18">
        <f t="shared" si="16"/>
        <v>30.030999999999999</v>
      </c>
      <c r="K28" s="20">
        <f t="shared" si="17"/>
        <v>1.195582608</v>
      </c>
      <c r="L28" s="20">
        <f t="shared" si="18"/>
        <v>1.257337908</v>
      </c>
      <c r="M28" s="21">
        <f t="shared" si="19"/>
        <v>1.1799999999999997</v>
      </c>
      <c r="N28" s="12"/>
      <c r="O28" s="12"/>
      <c r="P28" s="12"/>
      <c r="Q28" s="12"/>
      <c r="R28" s="12"/>
    </row>
    <row r="29" spans="1:18" x14ac:dyDescent="0.4">
      <c r="A29" s="12"/>
      <c r="B29" s="13" t="s">
        <v>34</v>
      </c>
      <c r="C29" s="13"/>
      <c r="D29" s="18">
        <v>19</v>
      </c>
      <c r="E29" s="18">
        <v>20.3</v>
      </c>
      <c r="F29" s="18">
        <v>20</v>
      </c>
      <c r="G29" s="18">
        <v>21.4</v>
      </c>
      <c r="H29" s="18">
        <f t="shared" si="15"/>
        <v>19.649999999999999</v>
      </c>
      <c r="I29" s="18"/>
      <c r="J29" s="18">
        <f t="shared" si="16"/>
        <v>20.7</v>
      </c>
      <c r="K29" s="20">
        <f t="shared" si="17"/>
        <v>0.82270619999999983</v>
      </c>
      <c r="L29" s="20">
        <f t="shared" si="18"/>
        <v>0.86666759999999998</v>
      </c>
      <c r="M29" s="21">
        <f t="shared" si="19"/>
        <v>0.81335952848722959</v>
      </c>
      <c r="N29" s="12"/>
      <c r="O29" s="12"/>
      <c r="P29" s="12"/>
      <c r="Q29" s="12"/>
      <c r="R29" s="12"/>
    </row>
    <row r="30" spans="1:18" x14ac:dyDescent="0.4">
      <c r="A30" s="12"/>
      <c r="B30" s="13" t="s">
        <v>35</v>
      </c>
      <c r="C30" s="13"/>
      <c r="D30" s="18">
        <v>13.6</v>
      </c>
      <c r="E30" s="18">
        <v>14</v>
      </c>
      <c r="F30" s="18">
        <v>15</v>
      </c>
      <c r="G30" s="18">
        <v>15.4</v>
      </c>
      <c r="H30" s="18">
        <f t="shared" si="15"/>
        <v>13.8</v>
      </c>
      <c r="I30" s="18"/>
      <c r="J30" s="18">
        <f t="shared" si="16"/>
        <v>15.2</v>
      </c>
      <c r="K30" s="20">
        <f t="shared" si="17"/>
        <v>0.57777840000000003</v>
      </c>
      <c r="L30" s="20">
        <f t="shared" si="18"/>
        <v>0.6363936</v>
      </c>
      <c r="M30" s="21">
        <f t="shared" si="19"/>
        <v>0.59724950884086425</v>
      </c>
      <c r="N30" s="12"/>
      <c r="O30" s="12"/>
      <c r="P30" s="12"/>
      <c r="Q30" s="12"/>
      <c r="R30" s="12"/>
    </row>
    <row r="32" spans="1:18" ht="13.7" x14ac:dyDescent="0.4">
      <c r="I32" s="22"/>
    </row>
    <row r="33" spans="2:8" x14ac:dyDescent="0.4">
      <c r="B33" s="14" t="s">
        <v>36</v>
      </c>
      <c r="C33" s="23" t="s">
        <v>37</v>
      </c>
      <c r="D33" s="23"/>
      <c r="E33" s="23"/>
      <c r="F33" s="23"/>
      <c r="G33" s="24" t="s">
        <v>38</v>
      </c>
      <c r="H33" s="24"/>
    </row>
    <row r="34" spans="2:8" x14ac:dyDescent="0.4">
      <c r="B34" s="14"/>
      <c r="C34" s="14"/>
      <c r="D34" s="14"/>
    </row>
    <row r="35" spans="2:8" x14ac:dyDescent="0.4">
      <c r="B35" s="14" t="s">
        <v>39</v>
      </c>
      <c r="C35" s="14">
        <f t="shared" ref="C35:C42" si="20">E35*G35</f>
        <v>8610</v>
      </c>
      <c r="D35" s="14" t="s">
        <v>40</v>
      </c>
      <c r="E35" s="5">
        <v>10250</v>
      </c>
      <c r="F35" s="5" t="s">
        <v>41</v>
      </c>
      <c r="G35" s="5">
        <v>0.84</v>
      </c>
      <c r="H35" s="5" t="s">
        <v>42</v>
      </c>
    </row>
    <row r="36" spans="2:8" x14ac:dyDescent="0.4">
      <c r="B36" s="14" t="s">
        <v>43</v>
      </c>
      <c r="C36" s="14">
        <f t="shared" si="20"/>
        <v>8056</v>
      </c>
      <c r="D36" s="14" t="s">
        <v>40</v>
      </c>
      <c r="E36" s="5">
        <v>10600</v>
      </c>
      <c r="F36" s="5" t="s">
        <v>41</v>
      </c>
      <c r="G36" s="5">
        <v>0.76</v>
      </c>
      <c r="H36" s="5" t="s">
        <v>42</v>
      </c>
    </row>
    <row r="37" spans="2:8" x14ac:dyDescent="0.4">
      <c r="B37" s="5" t="s">
        <v>44</v>
      </c>
      <c r="C37" s="14">
        <f t="shared" si="20"/>
        <v>7526</v>
      </c>
      <c r="D37" s="14" t="s">
        <v>40</v>
      </c>
      <c r="E37" s="5">
        <v>10600</v>
      </c>
      <c r="F37" s="5" t="s">
        <v>41</v>
      </c>
      <c r="G37" s="5">
        <v>0.71</v>
      </c>
      <c r="H37" s="5" t="s">
        <v>42</v>
      </c>
    </row>
    <row r="38" spans="2:8" x14ac:dyDescent="0.4">
      <c r="B38" s="14" t="s">
        <v>45</v>
      </c>
      <c r="C38" s="14">
        <f t="shared" si="20"/>
        <v>5995.0000000000009</v>
      </c>
      <c r="D38" s="14" t="s">
        <v>40</v>
      </c>
      <c r="E38" s="14">
        <v>10900</v>
      </c>
      <c r="F38" s="14" t="s">
        <v>41</v>
      </c>
      <c r="G38" s="14">
        <v>0.55000000000000004</v>
      </c>
      <c r="H38" s="14" t="s">
        <v>42</v>
      </c>
    </row>
    <row r="39" spans="2:8" x14ac:dyDescent="0.4">
      <c r="B39" s="5" t="s">
        <v>46</v>
      </c>
      <c r="C39" s="25">
        <f t="shared" si="20"/>
        <v>4531.8</v>
      </c>
      <c r="D39" s="14" t="s">
        <v>40</v>
      </c>
      <c r="E39" s="5">
        <v>10790</v>
      </c>
      <c r="F39" s="5" t="s">
        <v>41</v>
      </c>
      <c r="G39" s="5">
        <v>0.42</v>
      </c>
      <c r="H39" s="5" t="s">
        <v>42</v>
      </c>
    </row>
    <row r="40" spans="2:8" x14ac:dyDescent="0.4">
      <c r="B40" s="14" t="s">
        <v>47</v>
      </c>
      <c r="C40" s="14">
        <f t="shared" si="20"/>
        <v>5280</v>
      </c>
      <c r="D40" s="14" t="s">
        <v>40</v>
      </c>
      <c r="E40" s="14">
        <v>6600</v>
      </c>
      <c r="F40" s="14" t="s">
        <v>41</v>
      </c>
      <c r="G40" s="14">
        <v>0.8</v>
      </c>
      <c r="H40" s="14" t="s">
        <v>42</v>
      </c>
    </row>
    <row r="41" spans="2:8" x14ac:dyDescent="0.4">
      <c r="B41" s="14" t="s">
        <v>48</v>
      </c>
      <c r="C41" s="14">
        <f t="shared" si="20"/>
        <v>8815</v>
      </c>
      <c r="D41" s="14" t="s">
        <v>40</v>
      </c>
      <c r="E41" s="5">
        <v>10250</v>
      </c>
      <c r="F41" s="5" t="s">
        <v>41</v>
      </c>
      <c r="G41" s="5">
        <v>0.86</v>
      </c>
      <c r="H41" s="5" t="s">
        <v>42</v>
      </c>
    </row>
    <row r="42" spans="2:8" x14ac:dyDescent="0.4">
      <c r="B42" s="14" t="s">
        <v>49</v>
      </c>
      <c r="C42" s="14">
        <f t="shared" si="20"/>
        <v>9312</v>
      </c>
      <c r="D42" s="14" t="s">
        <v>40</v>
      </c>
      <c r="E42" s="5">
        <v>9700</v>
      </c>
      <c r="F42" s="5" t="s">
        <v>41</v>
      </c>
      <c r="G42" s="5">
        <v>0.96</v>
      </c>
      <c r="H42" s="5" t="s">
        <v>42</v>
      </c>
    </row>
  </sheetData>
  <mergeCells count="2">
    <mergeCell ref="C33:F33"/>
    <mergeCell ref="G33:H33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goto_TOC">
                <anchor>
                  <from>
                    <xdr:col>8</xdr:col>
                    <xdr:colOff>0</xdr:colOff>
                    <xdr:row>0</xdr:row>
                    <xdr:rowOff>84667</xdr:rowOff>
                  </from>
                  <to>
                    <xdr:col>9</xdr:col>
                    <xdr:colOff>80433</xdr:colOff>
                    <xdr:row>1</xdr:row>
                    <xdr:rowOff>105833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Convs</vt:lpstr>
      <vt:lpstr>Convs!Print_Area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Amrit Nakarmi</dc:creator>
  <cp:lastModifiedBy>Amrit Nakarmi</cp:lastModifiedBy>
  <dcterms:created xsi:type="dcterms:W3CDTF">2016-07-31T17:19:26Z</dcterms:created>
  <dcterms:modified xsi:type="dcterms:W3CDTF">2016-07-31T17:20:22Z</dcterms:modified>
</cp:coreProperties>
</file>